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2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3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4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5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6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clearinghouse.sharepoint.com/sites/ResearchServicesfromZdrive/Shared Documents/Research Services/PUBLICATIONS/HS Benchmarks/2023/HSB 2023 To Comms/Final 09152023/"/>
    </mc:Choice>
  </mc:AlternateContent>
  <xr:revisionPtr revIDLastSave="9" documentId="8_{64E1CB13-B0D2-4BF8-9D83-76195A68FC2A}" xr6:coauthVersionLast="47" xr6:coauthVersionMax="47" xr10:uidLastSave="{114B1F7E-F8E2-4EA7-A2D4-C5C75870C97C}"/>
  <bookViews>
    <workbookView xWindow="28680" yWindow="-120" windowWidth="29040" windowHeight="15840" tabRatio="975" xr2:uid="{D24DDA4F-4878-40A2-A7EE-BC97EC7A9D01}"/>
  </bookViews>
  <sheets>
    <sheet name="List of Tables" sheetId="1" r:id="rId1"/>
    <sheet name="1 Public Non-Charter Overall" sheetId="2" r:id="rId2"/>
    <sheet name="2 Public Non-Charter Majors" sheetId="3" r:id="rId3"/>
    <sheet name="3 Public Non-Charter Poverty" sheetId="4" r:id="rId4"/>
    <sheet name="4 Public Non-Charter Income" sheetId="5" r:id="rId5"/>
    <sheet name="5 Public Non-Charter Minority" sheetId="6" r:id="rId6"/>
    <sheet name="6 Public Non-Charter Urbanicity" sheetId="7" r:id="rId7"/>
    <sheet name="7 Public Charter Schools" sheetId="12" r:id="rId8"/>
    <sheet name="8 Private Schools" sheetId="13" r:id="rId9"/>
    <sheet name="9 Special Analysis of 2020 Grad" sheetId="11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22" i="7" l="1"/>
  <c r="N122" i="7"/>
  <c r="A122" i="7"/>
  <c r="AA94" i="7"/>
  <c r="N94" i="7"/>
  <c r="A94" i="7"/>
  <c r="A106" i="13"/>
  <c r="A110" i="13" s="1"/>
  <c r="A102" i="13"/>
  <c r="A78" i="13"/>
  <c r="A82" i="13" s="1"/>
  <c r="A74" i="13"/>
  <c r="A49" i="13"/>
  <c r="A54" i="13" s="1"/>
  <c r="A44" i="13"/>
  <c r="A19" i="13"/>
  <c r="A14" i="13"/>
  <c r="A9" i="13"/>
  <c r="A4" i="13"/>
  <c r="A125" i="12"/>
  <c r="A121" i="12"/>
  <c r="A97" i="12"/>
  <c r="A93" i="12"/>
  <c r="A68" i="12"/>
  <c r="A63" i="12"/>
  <c r="A38" i="12"/>
  <c r="A33" i="12"/>
  <c r="A8" i="12"/>
  <c r="A3" i="12"/>
  <c r="AA126" i="7"/>
  <c r="N126" i="7"/>
  <c r="A126" i="7"/>
  <c r="AA98" i="7"/>
  <c r="N98" i="7"/>
  <c r="A98" i="7"/>
  <c r="AA69" i="7"/>
  <c r="N69" i="7"/>
  <c r="A69" i="7"/>
  <c r="AA64" i="7"/>
  <c r="N64" i="7"/>
  <c r="A64" i="7"/>
  <c r="AA39" i="7"/>
  <c r="N39" i="7"/>
  <c r="A39" i="7"/>
  <c r="AA34" i="7"/>
  <c r="N34" i="7"/>
  <c r="A34" i="7"/>
  <c r="AA9" i="7"/>
  <c r="N9" i="7"/>
  <c r="A9" i="7"/>
  <c r="AA4" i="7"/>
  <c r="N4" i="7"/>
  <c r="A4" i="7"/>
  <c r="N126" i="6"/>
  <c r="A126" i="6"/>
  <c r="N122" i="6"/>
  <c r="A122" i="6"/>
  <c r="N98" i="6"/>
  <c r="A98" i="6"/>
  <c r="N94" i="6"/>
  <c r="A94" i="6"/>
  <c r="N69" i="6"/>
  <c r="A69" i="6"/>
  <c r="N64" i="6"/>
  <c r="A64" i="6"/>
  <c r="N39" i="6"/>
  <c r="A39" i="6"/>
  <c r="N34" i="6"/>
  <c r="A34" i="6"/>
  <c r="N9" i="6"/>
  <c r="A9" i="6"/>
  <c r="N4" i="6"/>
  <c r="A4" i="6"/>
  <c r="N122" i="5"/>
  <c r="A126" i="5"/>
  <c r="N126" i="5"/>
  <c r="A122" i="5"/>
  <c r="N98" i="5"/>
  <c r="A98" i="5"/>
  <c r="N94" i="5"/>
  <c r="A94" i="5"/>
  <c r="N69" i="5"/>
  <c r="A69" i="5"/>
  <c r="N64" i="5"/>
  <c r="A64" i="5"/>
  <c r="N39" i="5"/>
  <c r="A39" i="5"/>
  <c r="N34" i="5"/>
  <c r="A34" i="5"/>
  <c r="N9" i="5"/>
  <c r="A9" i="5"/>
  <c r="N4" i="5"/>
  <c r="A4" i="5"/>
  <c r="A126" i="4"/>
  <c r="N126" i="4"/>
  <c r="N122" i="4"/>
  <c r="A122" i="4"/>
  <c r="N98" i="4"/>
  <c r="A98" i="4"/>
  <c r="A94" i="4"/>
  <c r="N94" i="4"/>
  <c r="N69" i="4"/>
  <c r="A69" i="4"/>
  <c r="N64" i="4"/>
  <c r="A64" i="4"/>
  <c r="N39" i="4"/>
  <c r="A39" i="4"/>
  <c r="N34" i="4"/>
  <c r="A34" i="4"/>
  <c r="N9" i="4"/>
  <c r="A9" i="4"/>
  <c r="N4" i="4"/>
  <c r="A4" i="4"/>
  <c r="A24" i="13"/>
  <c r="N127" i="13"/>
  <c r="N124" i="13"/>
  <c r="N122" i="13"/>
  <c r="N99" i="13"/>
  <c r="N96" i="13"/>
  <c r="N94" i="13"/>
  <c r="N72" i="13"/>
  <c r="N70" i="13"/>
  <c r="N67" i="13"/>
  <c r="N66" i="13"/>
  <c r="N64" i="13"/>
  <c r="N42" i="13"/>
  <c r="N40" i="13"/>
  <c r="N37" i="13"/>
  <c r="N36" i="13"/>
  <c r="N34" i="13"/>
  <c r="N12" i="13"/>
  <c r="N11" i="13"/>
  <c r="N9" i="13"/>
  <c r="N7" i="13"/>
  <c r="N6" i="13"/>
  <c r="N4" i="13"/>
  <c r="A129" i="12" l="1"/>
  <c r="A101" i="12"/>
  <c r="A73" i="12"/>
  <c r="A43" i="12"/>
  <c r="A13" i="12"/>
  <c r="N126" i="12"/>
  <c r="N122" i="12"/>
  <c r="N98" i="12"/>
  <c r="N94" i="12"/>
  <c r="N71" i="12"/>
  <c r="N69" i="12"/>
  <c r="N66" i="12"/>
  <c r="N64" i="12"/>
  <c r="N41" i="12"/>
  <c r="N39" i="12"/>
  <c r="N36" i="12"/>
  <c r="N34" i="12"/>
  <c r="N11" i="12"/>
  <c r="N10" i="12"/>
  <c r="N8" i="12"/>
  <c r="N6" i="12"/>
  <c r="N5" i="12"/>
  <c r="N3" i="12"/>
  <c r="AA130" i="7" l="1"/>
  <c r="AA102" i="7"/>
  <c r="AA74" i="7"/>
  <c r="AA44" i="7"/>
  <c r="AA14" i="7"/>
  <c r="N130" i="7"/>
  <c r="N102" i="7"/>
  <c r="N74" i="7"/>
  <c r="N44" i="7"/>
  <c r="N14" i="7"/>
  <c r="A130" i="7"/>
  <c r="A102" i="7"/>
  <c r="A74" i="7"/>
  <c r="A44" i="7"/>
  <c r="A14" i="7"/>
  <c r="N130" i="6"/>
  <c r="N102" i="6"/>
  <c r="N74" i="6"/>
  <c r="N44" i="6"/>
  <c r="N14" i="6"/>
  <c r="A130" i="6"/>
  <c r="A102" i="6"/>
  <c r="A74" i="6"/>
  <c r="A44" i="6"/>
  <c r="A14" i="6"/>
  <c r="N130" i="5"/>
  <c r="A130" i="5"/>
  <c r="N102" i="5"/>
  <c r="A102" i="5"/>
  <c r="N74" i="5"/>
  <c r="A74" i="5"/>
  <c r="N44" i="5"/>
  <c r="A44" i="5"/>
  <c r="N14" i="5"/>
  <c r="A14" i="5"/>
  <c r="N14" i="4" l="1"/>
  <c r="N130" i="4"/>
  <c r="N102" i="4"/>
  <c r="N74" i="4"/>
  <c r="N44" i="4"/>
  <c r="A130" i="4"/>
  <c r="A102" i="4"/>
  <c r="A74" i="4"/>
  <c r="A44" i="4"/>
  <c r="A14" i="4"/>
</calcChain>
</file>

<file path=xl/sharedStrings.xml><?xml version="1.0" encoding="utf-8"?>
<sst xmlns="http://schemas.openxmlformats.org/spreadsheetml/2006/main" count="1719" uniqueCount="468">
  <si>
    <t>High School Benchmarks Report</t>
  </si>
  <si>
    <t>Tab</t>
  </si>
  <si>
    <t>List of Tables</t>
  </si>
  <si>
    <t>1 Public Non-Charter Overall</t>
  </si>
  <si>
    <t>Table 1. Rates of College Enrollment in the First Fall after High School Graduation for Class of 2022</t>
  </si>
  <si>
    <t>Table 2. Rates of College Enrollment in the First Fall after High School Graduation for Class of 2021</t>
  </si>
  <si>
    <t>Table 3. Rates of College Enrollment in the First Year after High School Graduation for Class of 2021</t>
  </si>
  <si>
    <t>Table 4. Rates of College Enrollment in the First Year after High School Graduation for Class of 2020</t>
  </si>
  <si>
    <t>Table 5. Rates of College Enrollment in the First Two Years after High School Graduation for Class of 2020</t>
  </si>
  <si>
    <t>Table 6. Rates of College Enrollment in the First Two Years after High School Graduation for Class of 2019</t>
  </si>
  <si>
    <t>Table 7. Persistence Rates from First to Second Year of College for Class of 2020</t>
  </si>
  <si>
    <t>Table 8. Persistence Rates from First to Second Year of College for Class of 2019</t>
  </si>
  <si>
    <t>Table 9. Six-Year Completion Rates for Class of 2016</t>
  </si>
  <si>
    <t>Table 10. Six-Year Completion Rates for Class of 2015</t>
  </si>
  <si>
    <t>Table 11. Six-Year Completion Rates for Class of 2016, STEM</t>
  </si>
  <si>
    <t>Table 12. Six-Year Completion Rates for Class of 2016, STEM Fields of Study</t>
  </si>
  <si>
    <t>Table 13. Rates of College Enrollment in the First Fall after High School Graduation for Class of 2022 by Income and Minority Levels</t>
  </si>
  <si>
    <t>Table 14. Six-Year College Completion Rates for Class of 2016 by Income and Minority Levels</t>
  </si>
  <si>
    <t>2 Public Non-Charter Majors</t>
  </si>
  <si>
    <t>Table 15.Top Five Majors for Students with First Fall Enrollment, Class of 2022</t>
  </si>
  <si>
    <t>Table 16. Top Five Majors for Students with First Year Persistence, Class of 2020</t>
  </si>
  <si>
    <t>Table 17. Top Five Majors for Students with Completion within Six Years, Class of 2016</t>
  </si>
  <si>
    <t>High Poverty HS</t>
  </si>
  <si>
    <t>Low Poverty HS</t>
  </si>
  <si>
    <t>Low Income HS</t>
  </si>
  <si>
    <t>Higher Income HS</t>
  </si>
  <si>
    <t>High Minority HS</t>
  </si>
  <si>
    <t>Low Minority HS</t>
  </si>
  <si>
    <t>Urban HS</t>
  </si>
  <si>
    <t>Suburban HS</t>
  </si>
  <si>
    <t>Rural HS</t>
  </si>
  <si>
    <t>Overall</t>
  </si>
  <si>
    <t>Four-Year</t>
  </si>
  <si>
    <t>Two-Year</t>
  </si>
  <si>
    <t>Public</t>
  </si>
  <si>
    <t>Private</t>
  </si>
  <si>
    <t>In-State</t>
  </si>
  <si>
    <t>Out-of-State</t>
  </si>
  <si>
    <t>Students with any completion</t>
  </si>
  <si>
    <t>Students with any completion in STEM</t>
  </si>
  <si>
    <t>Students with Bachelors degree</t>
  </si>
  <si>
    <t>Students with Bachelors degree in STEM</t>
  </si>
  <si>
    <t>Social Sciences</t>
  </si>
  <si>
    <t>Psychology</t>
  </si>
  <si>
    <t>Biological and Agricultural Sciences</t>
  </si>
  <si>
    <t>Engineering</t>
  </si>
  <si>
    <t>Computer Sciences</t>
  </si>
  <si>
    <t>Mathematics</t>
  </si>
  <si>
    <t>Physical Sciences</t>
  </si>
  <si>
    <t>Earth Atmospheric and Ocean Sciences</t>
  </si>
  <si>
    <t>Low Income, High Minority</t>
  </si>
  <si>
    <t>Low Income, Low Minority</t>
  </si>
  <si>
    <t>Higher Income, High Minority</t>
  </si>
  <si>
    <t>Higher Income, Low Minority</t>
  </si>
  <si>
    <t>Table 15a. Top Five Majors for Students with First Fall Enrollment, Class of 2022</t>
  </si>
  <si>
    <t>Table 15b. Top Five Majors for Students with First Fall Enrollment, Class of 2022</t>
  </si>
  <si>
    <t>Major</t>
  </si>
  <si>
    <t>Count</t>
  </si>
  <si>
    <t>Share</t>
  </si>
  <si>
    <t>Liberal Arts and Sciences, General Studies and Humanities</t>
  </si>
  <si>
    <t>13,046</t>
  </si>
  <si>
    <t>10,288</t>
  </si>
  <si>
    <t>Health Professions and Related Clinical Sciences</t>
  </si>
  <si>
    <t>6,054</t>
  </si>
  <si>
    <t>Business, Management, Marketing, and Related Support</t>
  </si>
  <si>
    <t>7,338</t>
  </si>
  <si>
    <t>5,317</t>
  </si>
  <si>
    <t>6,125</t>
  </si>
  <si>
    <t>Security and Protective Services</t>
  </si>
  <si>
    <t>2,138</t>
  </si>
  <si>
    <t>Biological and Biomedical Sciences</t>
  </si>
  <si>
    <t>5,370</t>
  </si>
  <si>
    <t>Computer and Information Sciences and Support Services</t>
  </si>
  <si>
    <t>2,090</t>
  </si>
  <si>
    <t>3,956</t>
  </si>
  <si>
    <t>25,957</t>
  </si>
  <si>
    <t>46,212</t>
  </si>
  <si>
    <t>8,363</t>
  </si>
  <si>
    <t>38,157</t>
  </si>
  <si>
    <t>4,710</t>
  </si>
  <si>
    <t>20,712</t>
  </si>
  <si>
    <t>3,692</t>
  </si>
  <si>
    <t>17,489</t>
  </si>
  <si>
    <t>Visual and Performing Arts</t>
  </si>
  <si>
    <t>2,577</t>
  </si>
  <si>
    <t>16,270</t>
  </si>
  <si>
    <t>28,011</t>
  </si>
  <si>
    <t>23,552</t>
  </si>
  <si>
    <t>11,373</t>
  </si>
  <si>
    <t>16,437</t>
  </si>
  <si>
    <t>10,871</t>
  </si>
  <si>
    <t>13,074</t>
  </si>
  <si>
    <t>4,729</t>
  </si>
  <si>
    <t>12,211</t>
  </si>
  <si>
    <t>4,216</t>
  </si>
  <si>
    <t>9,450</t>
  </si>
  <si>
    <t>63,174</t>
  </si>
  <si>
    <t>93,669</t>
  </si>
  <si>
    <t>19,602</t>
  </si>
  <si>
    <t>72,188</t>
  </si>
  <si>
    <t>14,324</t>
  </si>
  <si>
    <t>41,113</t>
  </si>
  <si>
    <t>9,005</t>
  </si>
  <si>
    <t>38,764</t>
  </si>
  <si>
    <t>6,079</t>
  </si>
  <si>
    <t>38,544</t>
  </si>
  <si>
    <t>36,891</t>
  </si>
  <si>
    <t>37,504</t>
  </si>
  <si>
    <t>14,490</t>
  </si>
  <si>
    <t>25,743</t>
  </si>
  <si>
    <t>12,024</t>
  </si>
  <si>
    <t>18,278</t>
  </si>
  <si>
    <t>6,426</t>
  </si>
  <si>
    <t>18,154</t>
  </si>
  <si>
    <t>5,071</t>
  </si>
  <si>
    <t>14,183</t>
  </si>
  <si>
    <t>54,294</t>
  </si>
  <si>
    <t>79,717</t>
  </si>
  <si>
    <t>16,485</t>
  </si>
  <si>
    <t>62,882</t>
  </si>
  <si>
    <t>13,171</t>
  </si>
  <si>
    <t>36,380</t>
  </si>
  <si>
    <t>7,308</t>
  </si>
  <si>
    <t>33,560</t>
  </si>
  <si>
    <t>4,968</t>
  </si>
  <si>
    <t>32,601</t>
  </si>
  <si>
    <t>24,637</t>
  </si>
  <si>
    <t>31,997</t>
  </si>
  <si>
    <t>9,957</t>
  </si>
  <si>
    <t>23,188</t>
  </si>
  <si>
    <t>7,884</t>
  </si>
  <si>
    <t>14,863</t>
  </si>
  <si>
    <t>4,320</t>
  </si>
  <si>
    <t>14,535</t>
  </si>
  <si>
    <t>3,685</t>
  </si>
  <si>
    <t>13,059</t>
  </si>
  <si>
    <t>41,120</t>
  </si>
  <si>
    <t>61,412</t>
  </si>
  <si>
    <t>13,906</t>
  </si>
  <si>
    <t>46,664</t>
  </si>
  <si>
    <t>9,075</t>
  </si>
  <si>
    <t>25,126</t>
  </si>
  <si>
    <t>6,654</t>
  </si>
  <si>
    <t>24,515</t>
  </si>
  <si>
    <t>4,440</t>
  </si>
  <si>
    <t>24,065</t>
  </si>
  <si>
    <t>25,428</t>
  </si>
  <si>
    <t>23,812</t>
  </si>
  <si>
    <t>8,236</t>
  </si>
  <si>
    <t>18,773</t>
  </si>
  <si>
    <t>7,112</t>
  </si>
  <si>
    <t>14,714</t>
  </si>
  <si>
    <t>Mechanic and Repair Technologies/Technicians</t>
  </si>
  <si>
    <t>3,106</t>
  </si>
  <si>
    <t>11,377</t>
  </si>
  <si>
    <t>2,760</t>
  </si>
  <si>
    <t>10,902</t>
  </si>
  <si>
    <t>Table 16a. Top Five Majors for Students with First Year Persistence, Class of 2020</t>
  </si>
  <si>
    <t>Table 16b. Top Five Majors for Students with First Year Persistence, Class of 2020</t>
  </si>
  <si>
    <t>10,134</t>
  </si>
  <si>
    <t>9,337</t>
  </si>
  <si>
    <t>4,608</t>
  </si>
  <si>
    <t>5,509</t>
  </si>
  <si>
    <t>3,414</t>
  </si>
  <si>
    <t>5,277</t>
  </si>
  <si>
    <t>2,371</t>
  </si>
  <si>
    <t>5,159</t>
  </si>
  <si>
    <t>1,623</t>
  </si>
  <si>
    <t>2,930</t>
  </si>
  <si>
    <t>26,013</t>
  </si>
  <si>
    <t>49,412</t>
  </si>
  <si>
    <t>7,830</t>
  </si>
  <si>
    <t>35,484</t>
  </si>
  <si>
    <t>4,771</t>
  </si>
  <si>
    <t>23,735</t>
  </si>
  <si>
    <t>3,064</t>
  </si>
  <si>
    <t>21,459</t>
  </si>
  <si>
    <t>2,452</t>
  </si>
  <si>
    <t>19,400</t>
  </si>
  <si>
    <t>30,550</t>
  </si>
  <si>
    <t>27,713</t>
  </si>
  <si>
    <t>11,344</t>
  </si>
  <si>
    <t>16,280</t>
  </si>
  <si>
    <t>16,172</t>
  </si>
  <si>
    <t>5,441</t>
  </si>
  <si>
    <t>14,864</t>
  </si>
  <si>
    <t>3,997</t>
  </si>
  <si>
    <t>9,981</t>
  </si>
  <si>
    <t>61,191</t>
  </si>
  <si>
    <t>95,252</t>
  </si>
  <si>
    <t>17,582</t>
  </si>
  <si>
    <t>62,914</t>
  </si>
  <si>
    <t>14,280</t>
  </si>
  <si>
    <t>43,226</t>
  </si>
  <si>
    <t>7,231</t>
  </si>
  <si>
    <t>42,526</t>
  </si>
  <si>
    <t>6,248</t>
  </si>
  <si>
    <t>42,226</t>
  </si>
  <si>
    <t>34,852</t>
  </si>
  <si>
    <t>37,572</t>
  </si>
  <si>
    <t>11,758</t>
  </si>
  <si>
    <t>22,262</t>
  </si>
  <si>
    <t>11,708</t>
  </si>
  <si>
    <t>21,604</t>
  </si>
  <si>
    <t>6,011</t>
  </si>
  <si>
    <t>18,434</t>
  </si>
  <si>
    <t>5,031</t>
  </si>
  <si>
    <t>13,848</t>
  </si>
  <si>
    <t>56,889</t>
  </si>
  <si>
    <t>85,393</t>
  </si>
  <si>
    <t>15,324</t>
  </si>
  <si>
    <t>56,932</t>
  </si>
  <si>
    <t>13,866</t>
  </si>
  <si>
    <t>38,956</t>
  </si>
  <si>
    <t>6,197</t>
  </si>
  <si>
    <t>38,359</t>
  </si>
  <si>
    <t>5,678</t>
  </si>
  <si>
    <t>37,794</t>
  </si>
  <si>
    <t>23,369</t>
  </si>
  <si>
    <t>34,864</t>
  </si>
  <si>
    <t>8,241</t>
  </si>
  <si>
    <t>21,153</t>
  </si>
  <si>
    <t>7,442</t>
  </si>
  <si>
    <t>17,482</t>
  </si>
  <si>
    <t>3,665</t>
  </si>
  <si>
    <t>14,971</t>
  </si>
  <si>
    <t>3,516</t>
  </si>
  <si>
    <t>14,517</t>
  </si>
  <si>
    <t>42,099</t>
  </si>
  <si>
    <t>63,116</t>
  </si>
  <si>
    <t>12,748</t>
  </si>
  <si>
    <t>41,853</t>
  </si>
  <si>
    <t>10,240</t>
  </si>
  <si>
    <t>28,976</t>
  </si>
  <si>
    <t>5,506</t>
  </si>
  <si>
    <t>26,634</t>
  </si>
  <si>
    <t>5,171</t>
  </si>
  <si>
    <t>26,326</t>
  </si>
  <si>
    <t>26,273</t>
  </si>
  <si>
    <t>24,985</t>
  </si>
  <si>
    <t>7,942</t>
  </si>
  <si>
    <t>16,239</t>
  </si>
  <si>
    <t>6,043</t>
  </si>
  <si>
    <t>16,188</t>
  </si>
  <si>
    <t>2,853</t>
  </si>
  <si>
    <t>12,940</t>
  </si>
  <si>
    <t>2,217</t>
  </si>
  <si>
    <t>10,910</t>
  </si>
  <si>
    <t>Table 17a. Top Five Majors for Students with Completion within Six Years, Class of 2016</t>
  </si>
  <si>
    <t>Table 17b. Top Five Majors for Students with Completion within Six Years, Class of 2016</t>
  </si>
  <si>
    <t>7,384</t>
  </si>
  <si>
    <t>5,143</t>
  </si>
  <si>
    <t>2,357</t>
  </si>
  <si>
    <t>4,384</t>
  </si>
  <si>
    <t>1,683</t>
  </si>
  <si>
    <t>3,780</t>
  </si>
  <si>
    <t>1,309</t>
  </si>
  <si>
    <t>3,295</t>
  </si>
  <si>
    <t>Multi/Interdisciplinary Studies</t>
  </si>
  <si>
    <t>1,028</t>
  </si>
  <si>
    <t>2,998</t>
  </si>
  <si>
    <t>50,760</t>
  </si>
  <si>
    <t>4,916</t>
  </si>
  <si>
    <t>23,759</t>
  </si>
  <si>
    <t>4,510</t>
  </si>
  <si>
    <t>22,487</t>
  </si>
  <si>
    <t>1,787</t>
  </si>
  <si>
    <t>22,141</t>
  </si>
  <si>
    <t>1,682</t>
  </si>
  <si>
    <t>18,697</t>
  </si>
  <si>
    <t>22,595</t>
  </si>
  <si>
    <t>17,733</t>
  </si>
  <si>
    <t>6,765</t>
  </si>
  <si>
    <t>12,520</t>
  </si>
  <si>
    <t>4,955</t>
  </si>
  <si>
    <t>11,924</t>
  </si>
  <si>
    <t>3,113</t>
  </si>
  <si>
    <t>10,231</t>
  </si>
  <si>
    <t>2,730</t>
  </si>
  <si>
    <t>9,524</t>
  </si>
  <si>
    <t>43,433</t>
  </si>
  <si>
    <t>87,336</t>
  </si>
  <si>
    <t>13,206</t>
  </si>
  <si>
    <t>44,920</t>
  </si>
  <si>
    <t>10,734</t>
  </si>
  <si>
    <t>41,307</t>
  </si>
  <si>
    <t>4,606</t>
  </si>
  <si>
    <t>39,794</t>
  </si>
  <si>
    <t>3,712</t>
  </si>
  <si>
    <t>33,535</t>
  </si>
  <si>
    <t>23,809</t>
  </si>
  <si>
    <t>21,829</t>
  </si>
  <si>
    <t>5,922</t>
  </si>
  <si>
    <t>13,956</t>
  </si>
  <si>
    <t>5,521</t>
  </si>
  <si>
    <t>13,612</t>
  </si>
  <si>
    <t>3,352</t>
  </si>
  <si>
    <t>12,895</t>
  </si>
  <si>
    <t>3,165</t>
  </si>
  <si>
    <t>12,238</t>
  </si>
  <si>
    <t>42,219</t>
  </si>
  <si>
    <t>83,240</t>
  </si>
  <si>
    <t>14,049</t>
  </si>
  <si>
    <t>43,828</t>
  </si>
  <si>
    <t>10,168</t>
  </si>
  <si>
    <t>38,643</t>
  </si>
  <si>
    <t>4,367</t>
  </si>
  <si>
    <t>37,765</t>
  </si>
  <si>
    <t>3,733</t>
  </si>
  <si>
    <t>30,821</t>
  </si>
  <si>
    <t>17,390</t>
  </si>
  <si>
    <t>23,775</t>
  </si>
  <si>
    <t>4,067</t>
  </si>
  <si>
    <t>13,803</t>
  </si>
  <si>
    <t>4,053</t>
  </si>
  <si>
    <t>12,350</t>
  </si>
  <si>
    <t>2,053</t>
  </si>
  <si>
    <t>12,328</t>
  </si>
  <si>
    <t>1,912</t>
  </si>
  <si>
    <t>11,691</t>
  </si>
  <si>
    <t>29,022</t>
  </si>
  <si>
    <t>58,307</t>
  </si>
  <si>
    <t>7,350</t>
  </si>
  <si>
    <t>29,340</t>
  </si>
  <si>
    <t>6,989</t>
  </si>
  <si>
    <t>26,603</t>
  </si>
  <si>
    <t>3,389</t>
  </si>
  <si>
    <t>25,594</t>
  </si>
  <si>
    <t>3,201</t>
  </si>
  <si>
    <t>22,926</t>
  </si>
  <si>
    <t>19,616</t>
  </si>
  <si>
    <t>22,987</t>
  </si>
  <si>
    <t>8,929</t>
  </si>
  <si>
    <t>15,772</t>
  </si>
  <si>
    <t>4,272</t>
  </si>
  <si>
    <t>11,132</t>
  </si>
  <si>
    <t>2,531</t>
  </si>
  <si>
    <t>9,618</t>
  </si>
  <si>
    <t>2,277</t>
  </si>
  <si>
    <t>Education</t>
  </si>
  <si>
    <t>9,150</t>
  </si>
  <si>
    <t>Enrolled in Fall 2020</t>
  </si>
  <si>
    <t>Enrolled in Fall 2021</t>
  </si>
  <si>
    <t>Enrolled in Fall 2022</t>
  </si>
  <si>
    <t>Enrollment Rate</t>
  </si>
  <si>
    <t>Share of Enrollment</t>
  </si>
  <si>
    <t>Poverty Levels</t>
  </si>
  <si>
    <t>Income Levels</t>
  </si>
  <si>
    <t>Minority Levels</t>
  </si>
  <si>
    <t>Urbanicity</t>
  </si>
  <si>
    <t>All</t>
  </si>
  <si>
    <t>Public four-year</t>
  </si>
  <si>
    <t>Private nonprofit four-year</t>
  </si>
  <si>
    <t>Private for-profit four-year</t>
  </si>
  <si>
    <t>PAB</t>
  </si>
  <si>
    <t>Public two-year</t>
  </si>
  <si>
    <t>High Poverty High Schools</t>
  </si>
  <si>
    <t>Low Poverty High Schools</t>
  </si>
  <si>
    <t>N of schools</t>
  </si>
  <si>
    <t>25th percentile</t>
  </si>
  <si>
    <t>50th percentile</t>
  </si>
  <si>
    <t>75th percentile</t>
  </si>
  <si>
    <t>N of students</t>
  </si>
  <si>
    <t>Total</t>
  </si>
  <si>
    <t>Two-year</t>
  </si>
  <si>
    <t>Four-year</t>
  </si>
  <si>
    <t>In-state</t>
  </si>
  <si>
    <t>Out-of-state</t>
  </si>
  <si>
    <t>Students enrolled in first year</t>
  </si>
  <si>
    <t>Lower Income High Schools</t>
  </si>
  <si>
    <t>High Minority High Schools</t>
  </si>
  <si>
    <t>Low Minority High Schools</t>
  </si>
  <si>
    <t>Urban High Schools</t>
  </si>
  <si>
    <t>Suburban High Schools</t>
  </si>
  <si>
    <t>Rural High Schools</t>
  </si>
  <si>
    <t>Postsecondary Enrollment, Persistence, and Completion for Public Charter High School Graduates</t>
  </si>
  <si>
    <t>I</t>
  </si>
  <si>
    <t>J</t>
  </si>
  <si>
    <t>K</t>
  </si>
  <si>
    <t>L</t>
  </si>
  <si>
    <t>M</t>
  </si>
  <si>
    <t>N</t>
  </si>
  <si>
    <t>O</t>
  </si>
  <si>
    <t>Postsecondary Enrollment, Persistence, and Completion for Private High School Graduates</t>
  </si>
  <si>
    <t>F</t>
  </si>
  <si>
    <t>G</t>
  </si>
  <si>
    <t>H</t>
  </si>
  <si>
    <t>*</t>
  </si>
  <si>
    <t>At Two-Year Colleges</t>
  </si>
  <si>
    <t>At Four-Year Colleges</t>
  </si>
  <si>
    <t>Higher-Income High Schools</t>
  </si>
  <si>
    <t>* Data are not shown when grade 12 coverage is under 10%, there are fewer than 3 schools, or fewer than 30 students.</t>
  </si>
  <si>
    <t>Special Analysis of 2020 Graduates</t>
  </si>
  <si>
    <t>Enrollment, Persistence, and Completion Across High School and College Characteristics, Public Non-Charter High Schools</t>
  </si>
  <si>
    <t>Top Five Majors Across College Level, Public Non-Charter High Schools</t>
  </si>
  <si>
    <t>Postsecondary Enrollment, Persistence, and Completion Across High School Poverty Level</t>
  </si>
  <si>
    <t>Postsecondary Enrollment, Persistence, and Completion Across High School Income Level</t>
  </si>
  <si>
    <t>Postsecondary Enrollment, Persistence, and Completion Across High School Minority Level</t>
  </si>
  <si>
    <t>Postsecondary Enrollment, Persistence, and Completion Across High School Urbanicity</t>
  </si>
  <si>
    <t>3 Public Non-Charter Poverty</t>
  </si>
  <si>
    <t>4 Public Non-Charter Income</t>
  </si>
  <si>
    <t>5 Public Non-Charter Minorirty</t>
  </si>
  <si>
    <t>6 Public Non-Charter Urbanicity</t>
  </si>
  <si>
    <t>7 Public Charter Schools</t>
  </si>
  <si>
    <t>8 Private Schools</t>
  </si>
  <si>
    <t>9 Special Analysis of 2020 Graduates</t>
  </si>
  <si>
    <t>Table 20. College Enrollment Rates in the First Year after High School Graduation for Classes 2020 and 2021, School Percentile Distribution</t>
  </si>
  <si>
    <t>Table 21. College Enrollment Rates in the First Year after High School Graduation for Classes 2020 and 2021, Student-Weighted Totals</t>
  </si>
  <si>
    <t>Table 22. College Enrollment Rates in the First Two Years after High School Graduation for Classes 2019 and 2020, School Percentile Distribution</t>
  </si>
  <si>
    <t>Table 23. College Enrollment Rates in the First Two Years after High School Graduation for Classes 2019 and 2020, Student-Weighted Totals</t>
  </si>
  <si>
    <t>Table 24. Persistence Rates from First to Second Year of College for Class of 2020, School Percentile Distribution</t>
  </si>
  <si>
    <t>Table 25. Persistence Rates from First to Second Year of College for Class of 2020, Student-Weighted Totals</t>
  </si>
  <si>
    <t>Table 26. Six-Year Completion Rates for Class of 2016, School Percentile Distribution</t>
  </si>
  <si>
    <t>Table 27. Six-Year Completion Rates for Class of 2016, Student-Weighted Totals</t>
  </si>
  <si>
    <t>Table 28. College Enrollment Rates in the First Fall after High School Graduation for Classes 2021 and 2022, School Percentile Distribution</t>
  </si>
  <si>
    <t>Table 29. College Enrollment Rates in the First Fall after High School Graduation for Classes 2021 and 2022, Student-Weighted Totals</t>
  </si>
  <si>
    <t>Table 30. College Enrollment Rates in the First Year after High School Graduation for Classes 2020 and 2021, School Percentile Distribution</t>
  </si>
  <si>
    <t>Table 31. College Enrollment Rates in the First Year after High School Graduation for Classes 2020 and 2021, Student-Weighted Totals</t>
  </si>
  <si>
    <t>Table 32. College Enrollment Rates in the First Two Years after High School Graduation for Classes 2019 and 2020, School Percentile Distribution</t>
  </si>
  <si>
    <t>Table 33. College Enrollment Rates in the First Two Years after High School Graduation for Classes 2019 and 2020, Student-Weighted Totals</t>
  </si>
  <si>
    <t>Table 34. Persistence Rates from First to Second Year of College for Class of 2020, School Percentile Distribution</t>
  </si>
  <si>
    <t>Table 35. Persistence Rates from First to Second Year of College for Class of 2020, Student-Weighted Totals</t>
  </si>
  <si>
    <t>Table 36. Six-Year Completion Rates for Class of 2016, School Percentile Distribution</t>
  </si>
  <si>
    <t>Table 37. Six-Year Completion Rates for Class of 2016, Student-Weighted Totals</t>
  </si>
  <si>
    <t>Table 38. College Enrollment Rates in the First Fall after High School Graduation for Classes 2021 and 2022, School Percentile Distribution</t>
  </si>
  <si>
    <t>Table 39. College Enrollment Rates in the First Fall after High School Graduation for Classes 2021 and 2022, Student-Weighted Totals</t>
  </si>
  <si>
    <t>Table 40. College Enrollment Rates in the First Year after High School Graduation for Classes 2020 and 2021, School Percentile Distribution</t>
  </si>
  <si>
    <t>Table 41. College Enrollment Rates in the First Year after High School Graduation for Classes 2020 and 2021, Student-Weighted Totals</t>
  </si>
  <si>
    <t>Table 42. College Enrollment Rates in the First Two Years after High School Graduation for Classes 2019 and 2020, School Percentile Distribution</t>
  </si>
  <si>
    <t>Table 43. College Enrollment Rates in the First Two Years after High School Graduation for Classes 2019 and 2020, Student-Weighted Totals</t>
  </si>
  <si>
    <t>Table 44. Persistence Rates from First to Second Year of College for Class of 2020, School Percentile Distribution</t>
  </si>
  <si>
    <t>Table 45. Persistence Rates from First to Second Year of College for Class of 2020, Student-Weighted Totals</t>
  </si>
  <si>
    <t>Table 46. Six-Year Completion Rates for Class of 2016, School Percentile Distribution</t>
  </si>
  <si>
    <t>Table 47. Six-Year Completion Rates for Class of 2016, Student-Weighted Totals</t>
  </si>
  <si>
    <t>Table 48. College Enrollment Rates in the First Fall after High School Graduation for Classes 2021 and 2022, School Percentile Distribution</t>
  </si>
  <si>
    <t>Table 49. College Enrollment Rates in the First Fall after High School Graduation for Classes 2021 and 2022, Student-Weighted Totals</t>
  </si>
  <si>
    <t>Table 50. College Enrollment Rates in the First Year after High School Graduation for Classes 2020 and 2021, School Percentile Distribution</t>
  </si>
  <si>
    <t>Table 51. College Enrollment Rates in the First Year after High School Graduation for Classes 2020 and 2021, Student-Weighted Totals</t>
  </si>
  <si>
    <t>Table 52. College Enrollment Rates in the First Two Years after High School Graduation for Classes 2019 and 2020, School Percentile Distribution</t>
  </si>
  <si>
    <t>Table 53. College Enrollment Rates in the First Two Years after High School Graduation for Classes 2019 and 2020, Student-Weighted Totals</t>
  </si>
  <si>
    <t>Table 54. Persistence Rates from First to Second Year of College for Class of 2020, School Percentile Distribution</t>
  </si>
  <si>
    <t>Table 55. Persistence Rates from First to Second Year of College for Class of 2020, Student-Weighted Totals</t>
  </si>
  <si>
    <t>Table 56. Six-Year Completion Rates for Class of 2016, School Percentile Distribution</t>
  </si>
  <si>
    <t>Table 57. Six-Year Completion Rates for Class of 2016, Student-Weighted Totals</t>
  </si>
  <si>
    <t>Table 58. College Enrollment Rates in the First Fall after High School Graduation for Classes 2021 and 2022, School Percentile Distribution</t>
  </si>
  <si>
    <t>Table 59. College Enrollment Rates in the First Fall after High School Graduation for Classes 2021 and 2022, Student-Weighted Totals</t>
  </si>
  <si>
    <t>Table 60. College Enrollment Rates in the First Year after High School Graduation for Classes 2020 and 2021, School Percentile Distribution</t>
  </si>
  <si>
    <t>Table 61. College Enrollment Rates in the First Year after High School Graduation for Classes 2020 and 2021, Student-Weighted Totals</t>
  </si>
  <si>
    <t>Table 62. College Enrollment Rates in the First Two Years after High School Graduation for Classes 2019 and 2020, School Percentile Distribution</t>
  </si>
  <si>
    <t>Table 63. College Enrollment Rates in the First Two Years after High School Graduation for Classes 2019 and 2020, Student-Weighted Totals</t>
  </si>
  <si>
    <t>Table 64. Persistence Rates from First to Second Year of College for Class of 2020, School Percentile Distribution</t>
  </si>
  <si>
    <t>Table 65. Persistence Rates from First to Second Year of College for Class of 2020, Student-Weighted Totals</t>
  </si>
  <si>
    <t>Table 66. Six-Year Completion Rates for Class of 2016, School Percentile Distribution</t>
  </si>
  <si>
    <t>Table 67. Six-Year Completion Rates for Class of 2016, Student-Weighted Totals</t>
  </si>
  <si>
    <t>Table 68. College Enrollment Rates in the First Fall after High School Graduation for Classes 2021 and 2022, School Percentile Distribution</t>
  </si>
  <si>
    <t>Table 69. College Enrollment Rates in the First Fall after High School Graduation for Classes 2021 and 2022, Student-Weighted Totals</t>
  </si>
  <si>
    <t>Table 70. College Enrollment Rates in the First Year after High School Graduation for Classes 2020 and 2021, School Percentile Distribution</t>
  </si>
  <si>
    <t>Table 71. College Enrollment Rates in the First Year after High School Graduation for Classes 2020 and 2021, Student-Weighted Totals</t>
  </si>
  <si>
    <t>Table 72. College Enrollment Rates in the First Two Years after High School Graduation for Classes 2019 and 2020, School Percentile Distribution</t>
  </si>
  <si>
    <t>Table 73. College Enrollment Rates in the First Two Years after High School Graduation for Classes 2019 and 2020, Student-Weighted Totals</t>
  </si>
  <si>
    <t>Table 74. Persistence Rates from First to Second Year of College for Class of 2020, School Percentile Distribution</t>
  </si>
  <si>
    <t>Table 75. Persistence Rates from First to Second Year of College for Class of 2020, Student-Weighted Totals</t>
  </si>
  <si>
    <t>Table 76. Six-Year Completion Rates for Class of 2016, School Percentile Distribution</t>
  </si>
  <si>
    <t>Table 77. Six-Year Completion Rates for Class of 2016, Student-Weighted Totals</t>
  </si>
  <si>
    <t>Table 78. First College Enrollment Rate by Term and High School Characteristics for the Class of 2020</t>
  </si>
  <si>
    <t>Table 79. Enrollment by Sector for Class of 2020 Across High School Income</t>
  </si>
  <si>
    <t>Table 18. College Enrollment Rates in the First Fall after High School Graduation for Classes 2021 and 2022, School Percentile Distribution</t>
  </si>
  <si>
    <t>Table 19. College Enrollment Rates in the First Fall after High School Graduation for Classes 2021 and 2022, Student-Weighted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</si>
</sst>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[$-409]mmmm\ d\,\ 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4" fillId="0" borderId="3" xfId="0" quotePrefix="1" applyFont="1" applyBorder="1" applyAlignment="1">
      <alignment horizontal="left" vertical="top"/>
    </xf>
    <xf numFmtId="164" fontId="4" fillId="0" borderId="3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0" fontId="0" fillId="0" borderId="3" xfId="0" applyBorder="1"/>
    <xf numFmtId="3" fontId="4" fillId="0" borderId="3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0" fontId="0" fillId="0" borderId="5" xfId="0" applyBorder="1"/>
    <xf numFmtId="0" fontId="4" fillId="0" borderId="5" xfId="0" quotePrefix="1" applyFont="1" applyBorder="1" applyAlignment="1">
      <alignment horizontal="center"/>
    </xf>
    <xf numFmtId="0" fontId="4" fillId="0" borderId="6" xfId="0" quotePrefix="1" applyFont="1" applyBorder="1" applyAlignment="1">
      <alignment horizontal="center"/>
    </xf>
    <xf numFmtId="0" fontId="4" fillId="0" borderId="7" xfId="0" quotePrefix="1" applyFont="1" applyBorder="1" applyAlignment="1">
      <alignment horizontal="center"/>
    </xf>
    <xf numFmtId="0" fontId="0" fillId="0" borderId="5" xfId="0" applyBorder="1" applyAlignment="1">
      <alignment wrapText="1"/>
    </xf>
    <xf numFmtId="0" fontId="4" fillId="0" borderId="5" xfId="0" quotePrefix="1" applyFont="1" applyBorder="1" applyAlignment="1">
      <alignment horizontal="center" wrapText="1"/>
    </xf>
    <xf numFmtId="0" fontId="4" fillId="0" borderId="6" xfId="0" quotePrefix="1" applyFont="1" applyBorder="1" applyAlignment="1">
      <alignment horizontal="center" wrapText="1"/>
    </xf>
    <xf numFmtId="0" fontId="4" fillId="0" borderId="7" xfId="0" quotePrefix="1" applyFont="1" applyBorder="1" applyAlignment="1">
      <alignment horizontal="center" wrapText="1"/>
    </xf>
    <xf numFmtId="0" fontId="4" fillId="0" borderId="0" xfId="0" quotePrefix="1" applyFont="1" applyAlignment="1">
      <alignment horizontal="center" wrapText="1"/>
    </xf>
    <xf numFmtId="0" fontId="0" fillId="0" borderId="0" xfId="0" applyAlignment="1">
      <alignment wrapText="1"/>
    </xf>
    <xf numFmtId="164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2" fillId="0" borderId="0" xfId="0" applyFont="1"/>
    <xf numFmtId="0" fontId="4" fillId="2" borderId="3" xfId="0" quotePrefix="1" applyFont="1" applyFill="1" applyBorder="1" applyAlignment="1">
      <alignment horizontal="left" vertical="top"/>
    </xf>
    <xf numFmtId="164" fontId="0" fillId="0" borderId="0" xfId="0" applyNumberFormat="1"/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wrapText="1"/>
    </xf>
    <xf numFmtId="3" fontId="0" fillId="0" borderId="0" xfId="0" applyNumberFormat="1"/>
    <xf numFmtId="0" fontId="4" fillId="0" borderId="0" xfId="0" applyFont="1"/>
    <xf numFmtId="0" fontId="9" fillId="0" borderId="0" xfId="0" applyFont="1"/>
    <xf numFmtId="0" fontId="0" fillId="0" borderId="3" xfId="0" applyBorder="1" applyAlignment="1">
      <alignment vertical="top" wrapText="1"/>
    </xf>
    <xf numFmtId="3" fontId="0" fillId="0" borderId="3" xfId="0" applyNumberForma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1" fontId="7" fillId="0" borderId="3" xfId="0" applyNumberFormat="1" applyFont="1" applyBorder="1" applyAlignment="1">
      <alignment horizontal="center" vertical="center" wrapText="1"/>
    </xf>
    <xf numFmtId="9" fontId="0" fillId="0" borderId="3" xfId="1" applyFont="1" applyBorder="1" applyAlignment="1">
      <alignment vertical="center" wrapText="1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8" xfId="0" applyFont="1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 wrapText="1"/>
    </xf>
    <xf numFmtId="0" fontId="5" fillId="0" borderId="8" xfId="0" applyFont="1" applyBorder="1"/>
    <xf numFmtId="3" fontId="4" fillId="0" borderId="3" xfId="0" applyNumberFormat="1" applyFont="1" applyBorder="1" applyAlignment="1">
      <alignment horizontal="right" vertical="center" wrapText="1"/>
    </xf>
    <xf numFmtId="3" fontId="0" fillId="0" borderId="3" xfId="0" applyNumberForma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10" fontId="4" fillId="0" borderId="0" xfId="0" applyNumberFormat="1" applyFont="1"/>
    <xf numFmtId="0" fontId="3" fillId="0" borderId="0" xfId="0" applyFont="1"/>
    <xf numFmtId="1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vertical="center"/>
    </xf>
    <xf numFmtId="1" fontId="8" fillId="0" borderId="0" xfId="0" applyNumberFormat="1" applyFont="1" applyAlignment="1">
      <alignment vertical="center"/>
    </xf>
    <xf numFmtId="1" fontId="11" fillId="0" borderId="0" xfId="0" applyNumberFormat="1" applyFont="1" applyAlignment="1">
      <alignment vertical="center"/>
    </xf>
    <xf numFmtId="164" fontId="0" fillId="0" borderId="3" xfId="1" applyNumberFormat="1" applyFont="1" applyBorder="1" applyAlignment="1">
      <alignment vertical="center" wrapText="1"/>
    </xf>
    <xf numFmtId="164" fontId="4" fillId="0" borderId="3" xfId="1" applyNumberFormat="1" applyFont="1" applyFill="1" applyBorder="1" applyAlignment="1">
      <alignment horizontal="right" vertical="center" wrapText="1"/>
    </xf>
    <xf numFmtId="164" fontId="0" fillId="0" borderId="3" xfId="1" applyNumberFormat="1" applyFont="1" applyBorder="1" applyAlignment="1">
      <alignment horizontal="right" vertical="center" wrapText="1"/>
    </xf>
    <xf numFmtId="0" fontId="4" fillId="0" borderId="3" xfId="0" quotePrefix="1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164" fontId="4" fillId="0" borderId="5" xfId="0" applyNumberFormat="1" applyFont="1" applyBorder="1" applyAlignment="1">
      <alignment vertical="center"/>
    </xf>
    <xf numFmtId="0" fontId="4" fillId="0" borderId="3" xfId="0" quotePrefix="1" applyFont="1" applyBorder="1" applyAlignment="1">
      <alignment horizontal="left"/>
    </xf>
    <xf numFmtId="0" fontId="0" fillId="0" borderId="4" xfId="0" applyBorder="1"/>
    <xf numFmtId="0" fontId="10" fillId="0" borderId="0" xfId="0" applyFont="1"/>
    <xf numFmtId="0" fontId="3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2" fillId="0" borderId="0" xfId="0" applyFont="1"/>
    <xf numFmtId="1" fontId="7" fillId="0" borderId="0" xfId="0" applyNumberFormat="1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/>
    <xf numFmtId="0" fontId="14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5" fillId="0" borderId="0" xfId="0" applyFont="1"/>
    <xf numFmtId="0" fontId="2" fillId="0" borderId="5" xfId="0" applyFont="1" applyBorder="1" applyAlignment="1">
      <alignment horizontal="center" vertical="center"/>
    </xf>
    <xf numFmtId="0" fontId="4" fillId="2" borderId="3" xfId="0" quotePrefix="1" applyFont="1" applyFill="1" applyBorder="1" applyAlignment="1">
      <alignment horizontal="right" vertical="top"/>
    </xf>
    <xf numFmtId="164" fontId="4" fillId="2" borderId="3" xfId="0" applyNumberFormat="1" applyFont="1" applyFill="1" applyBorder="1" applyAlignment="1">
      <alignment horizontal="right" vertical="center"/>
    </xf>
    <xf numFmtId="0" fontId="4" fillId="0" borderId="3" xfId="0" quotePrefix="1" applyFont="1" applyBorder="1" applyAlignment="1">
      <alignment horizontal="right" vertical="top"/>
    </xf>
    <xf numFmtId="164" fontId="4" fillId="0" borderId="3" xfId="0" applyNumberFormat="1" applyFont="1" applyBorder="1" applyAlignment="1">
      <alignment horizontal="right" vertical="center"/>
    </xf>
    <xf numFmtId="1" fontId="17" fillId="0" borderId="0" xfId="0" applyNumberFormat="1" applyFont="1" applyAlignment="1">
      <alignment vertical="center"/>
    </xf>
    <xf numFmtId="1" fontId="18" fillId="0" borderId="0" xfId="0" applyNumberFormat="1" applyFont="1" applyAlignment="1">
      <alignment vertical="center"/>
    </xf>
    <xf numFmtId="0" fontId="16" fillId="0" borderId="0" xfId="0" applyFont="1"/>
    <xf numFmtId="0" fontId="19" fillId="0" borderId="0" xfId="0" applyFont="1"/>
    <xf numFmtId="3" fontId="0" fillId="0" borderId="3" xfId="0" applyNumberForma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3" xfId="0" quotePrefix="1" applyFont="1" applyBorder="1" applyAlignment="1">
      <alignment horizontal="left" vertical="top"/>
    </xf>
    <xf numFmtId="0" fontId="0" fillId="0" borderId="3" xfId="0" applyBorder="1"/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wrapText="1"/>
    </xf>
    <xf numFmtId="0" fontId="16" fillId="0" borderId="0" xfId="0" applyFont="1" applyAlignment="1">
      <alignment horizontal="center"/>
    </xf>
    <xf numFmtId="0" fontId="4" fillId="2" borderId="3" xfId="0" quotePrefix="1" applyFont="1" applyFill="1" applyBorder="1" applyAlignment="1">
      <alignment horizontal="left" vertical="top"/>
    </xf>
    <xf numFmtId="0" fontId="0" fillId="2" borderId="3" xfId="0" applyFill="1" applyBorder="1"/>
    <xf numFmtId="1" fontId="18" fillId="0" borderId="0" xfId="0" applyNumberFormat="1" applyFont="1" applyAlignment="1">
      <alignment horizontal="center" vertical="center"/>
    </xf>
    <xf numFmtId="0" fontId="4" fillId="0" borderId="5" xfId="0" quotePrefix="1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4" fillId="0" borderId="7" xfId="0" quotePrefix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62993E"/>
      <color rgb="FF5089BC"/>
      <color rgb="FFD26E2A"/>
      <color rgb="FF3B64AD"/>
      <color rgb="FFE2AA00"/>
      <color rgb="FF929292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'[1]High Poverty'!$D$9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 Poverty'!$A$43:$A$45,'[1]High Poverty'!$A$43:$A$45,'[1]High Poverty'!$A$43:$A$45)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'[1]High Poverty'!$D$43:$D$44</c:f>
              <c:numCache>
                <c:formatCode>General</c:formatCode>
                <c:ptCount val="2"/>
                <c:pt idx="0">
                  <c:v>0.45500000000000002</c:v>
                </c:pt>
                <c:pt idx="1">
                  <c:v>0.45300000000000001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0F-469D-AD3D-39DA6AE28104}"/>
            </c:ext>
          </c:extLst>
        </c:ser>
        <c:ser>
          <c:idx val="3"/>
          <c:order val="1"/>
          <c:tx>
            <c:strRef>
              <c:f>'[1]High Poverty'!$E$9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 Poverty'!$A$43:$A$45,'[1]High Poverty'!$A$43:$A$45,'[1]High Poverty'!$A$43:$A$45)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'[1]High Poverty'!$E$43:$E$44</c:f>
              <c:numCache>
                <c:formatCode>General</c:formatCode>
                <c:ptCount val="2"/>
                <c:pt idx="0">
                  <c:v>6.2E-2</c:v>
                </c:pt>
                <c:pt idx="1">
                  <c:v>5.7000000000000002E-2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0F-469D-AD3D-39DA6AE28104}"/>
            </c:ext>
          </c:extLst>
        </c:ser>
        <c:ser>
          <c:idx val="0"/>
          <c:order val="2"/>
          <c:tx>
            <c:strRef>
              <c:f>'[1]High Poverty'!$F$9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 Poverty'!$A$43:$A$45,'[1]High Poverty'!$A$43:$A$45,'[1]High Poverty'!$A$43:$A$45)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('[1]High Poverty'!$N$16:$N$18,'[1]High Poverty'!$F$43:$F$44)</c:f>
              <c:numCache>
                <c:formatCode>General</c:formatCode>
                <c:ptCount val="5"/>
                <c:pt idx="3">
                  <c:v>0.25</c:v>
                </c:pt>
                <c:pt idx="4">
                  <c:v>0.23499999999999999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0F-469D-AD3D-39DA6AE28104}"/>
            </c:ext>
          </c:extLst>
        </c:ser>
        <c:ser>
          <c:idx val="1"/>
          <c:order val="3"/>
          <c:tx>
            <c:strRef>
              <c:f>'[1]High Poverty'!$G$9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 Poverty'!$A$43:$A$45,'[1]High Poverty'!$A$43:$A$45,'[1]High Poverty'!$A$43:$A$45)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('[1]High Poverty'!$N$16:$N$18,'[1]High Poverty'!$G$43:$G$44)</c:f>
              <c:numCache>
                <c:formatCode>General</c:formatCode>
                <c:ptCount val="5"/>
                <c:pt idx="3">
                  <c:v>0.26700000000000002</c:v>
                </c:pt>
                <c:pt idx="4">
                  <c:v>0.27600000000000002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0F-469D-AD3D-39DA6AE28104}"/>
            </c:ext>
          </c:extLst>
        </c:ser>
        <c:ser>
          <c:idx val="4"/>
          <c:order val="4"/>
          <c:tx>
            <c:strRef>
              <c:f>'[1]High Poverty'!$H$9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 Poverty'!$A$43:$A$45,'[1]High Poverty'!$A$43:$A$45,'[1]High Poverty'!$A$43:$A$45)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('[1]High Poverty'!$N$16:$N$21,'[1]High Poverty'!$H$43:$H$44)</c:f>
              <c:numCache>
                <c:formatCode>General</c:formatCode>
                <c:ptCount val="8"/>
                <c:pt idx="6">
                  <c:v>0.47399999999999998</c:v>
                </c:pt>
                <c:pt idx="7">
                  <c:v>0.46400000000000002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0F-469D-AD3D-39DA6AE28104}"/>
            </c:ext>
          </c:extLst>
        </c:ser>
        <c:ser>
          <c:idx val="5"/>
          <c:order val="5"/>
          <c:tx>
            <c:strRef>
              <c:f>'[1]High Poverty'!$I$9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 Poverty'!$A$43:$A$45,'[1]High Poverty'!$A$43:$A$45,'[1]High Poverty'!$A$43:$A$45)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('[1]High Poverty'!$N$16:$N$21,'[1]High Poverty'!$I$43:$I$44)</c:f>
              <c:numCache>
                <c:formatCode>General</c:formatCode>
                <c:ptCount val="8"/>
                <c:pt idx="6">
                  <c:v>4.2999999999999997E-2</c:v>
                </c:pt>
                <c:pt idx="7">
                  <c:v>4.5999999999999999E-2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0F-469D-AD3D-39DA6AE28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'[1]Low Poverty'!$D$9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 Poverty'!$A$10:$A$12,'[1]Low Poverty'!$A$10:$A$12,'[1]Low Poverty'!$A$10:$A$12)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'[1]Low Poverty'!$D$10:$D$11</c:f>
              <c:numCache>
                <c:formatCode>General</c:formatCode>
                <c:ptCount val="2"/>
                <c:pt idx="0">
                  <c:v>0.54900000000000004</c:v>
                </c:pt>
                <c:pt idx="1">
                  <c:v>0.55400000000000005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55-4C6B-BB56-53D570FB10A5}"/>
            </c:ext>
          </c:extLst>
        </c:ser>
        <c:ser>
          <c:idx val="3"/>
          <c:order val="1"/>
          <c:tx>
            <c:strRef>
              <c:f>'[1]Low Poverty'!$E$9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 Poverty'!$A$10:$A$12,'[1]Low Poverty'!$A$10:$A$12,'[1]Low Poverty'!$A$10:$A$12)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'[1]Low Poverty'!$E$10:$E$11</c:f>
              <c:numCache>
                <c:formatCode>General</c:formatCode>
                <c:ptCount val="2"/>
                <c:pt idx="0">
                  <c:v>0.161</c:v>
                </c:pt>
                <c:pt idx="1">
                  <c:v>0.155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55-4C6B-BB56-53D570FB10A5}"/>
            </c:ext>
          </c:extLst>
        </c:ser>
        <c:ser>
          <c:idx val="0"/>
          <c:order val="2"/>
          <c:tx>
            <c:strRef>
              <c:f>'[1]Low Poverty'!$F$9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 Poverty'!$A$10:$A$12,'[1]Low Poverty'!$A$10:$A$12,'[1]Low Poverty'!$A$10:$A$12)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('[1]Low Poverty'!$N$16:$N$18,'[1]Low Poverty'!$F$10:$F$11)</c:f>
              <c:numCache>
                <c:formatCode>General</c:formatCode>
                <c:ptCount val="5"/>
                <c:pt idx="3">
                  <c:v>0.16</c:v>
                </c:pt>
                <c:pt idx="4">
                  <c:v>0.16300000000000001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55-4C6B-BB56-53D570FB10A5}"/>
            </c:ext>
          </c:extLst>
        </c:ser>
        <c:ser>
          <c:idx val="1"/>
          <c:order val="3"/>
          <c:tx>
            <c:strRef>
              <c:f>'[1]Low Poverty'!$G$9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 Poverty'!$A$10:$A$12,'[1]Low Poverty'!$A$10:$A$12,'[1]Low Poverty'!$A$10:$A$12)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('[1]Low Poverty'!$N$16:$N$18,'[1]Low Poverty'!$G$10:$G$11)</c:f>
              <c:numCache>
                <c:formatCode>General</c:formatCode>
                <c:ptCount val="5"/>
                <c:pt idx="3">
                  <c:v>0.55100000000000005</c:v>
                </c:pt>
                <c:pt idx="4">
                  <c:v>0.54700000000000004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55-4C6B-BB56-53D570FB10A5}"/>
            </c:ext>
          </c:extLst>
        </c:ser>
        <c:ser>
          <c:idx val="4"/>
          <c:order val="4"/>
          <c:tx>
            <c:strRef>
              <c:f>'[1]Low Poverty'!$H$9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 Poverty'!$A$10:$A$12,'[1]Low Poverty'!$A$10:$A$12,'[1]Low Poverty'!$A$10:$A$12)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('[1]Low Poverty'!$N$16:$N$21,'[1]Low Poverty'!$H$10:$H$11)</c:f>
              <c:numCache>
                <c:formatCode>General</c:formatCode>
                <c:ptCount val="8"/>
                <c:pt idx="6">
                  <c:v>0.48499999999999999</c:v>
                </c:pt>
                <c:pt idx="7">
                  <c:v>0.47699999999999998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55-4C6B-BB56-53D570FB10A5}"/>
            </c:ext>
          </c:extLst>
        </c:ser>
        <c:ser>
          <c:idx val="5"/>
          <c:order val="5"/>
          <c:tx>
            <c:strRef>
              <c:f>'[1]Low Poverty'!$I$9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 Poverty'!$A$10:$A$12,'[1]Low Poverty'!$A$10:$A$12,'[1]Low Poverty'!$A$10:$A$12)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('[1]Low Poverty'!$N$16:$N$21,'[1]Low Poverty'!$I$10:$I$11)</c:f>
              <c:numCache>
                <c:formatCode>General</c:formatCode>
                <c:ptCount val="8"/>
                <c:pt idx="6">
                  <c:v>0.22500000000000001</c:v>
                </c:pt>
                <c:pt idx="7">
                  <c:v>0.23200000000000001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55-4C6B-BB56-53D570FB1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'[1]Lower Income'!$D$9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('[1]Lower Income'!$A$43:$A$45,'[1]Lower Income'!$A$43:$A$45,'[1]Lower Income'!$A$43:$A$45)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'[1]Lower Income'!$D$43:$D$44</c:f>
              <c:numCache>
                <c:formatCode>General</c:formatCode>
                <c:ptCount val="2"/>
                <c:pt idx="0">
                  <c:v>0.47699999999999998</c:v>
                </c:pt>
                <c:pt idx="1">
                  <c:v>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3B-4FE5-9BAD-984985A16773}"/>
            </c:ext>
          </c:extLst>
        </c:ser>
        <c:ser>
          <c:idx val="3"/>
          <c:order val="1"/>
          <c:tx>
            <c:strRef>
              <c:f>'[1]Lower Income'!$E$9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('[1]Lower Income'!$A$43:$A$45,'[1]Lower Income'!$A$43:$A$45,'[1]Lower Income'!$A$43:$A$45)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'[1]Lower Income'!$E$43:$E$44</c:f>
              <c:numCache>
                <c:formatCode>General</c:formatCode>
                <c:ptCount val="2"/>
                <c:pt idx="0">
                  <c:v>6.9000000000000006E-2</c:v>
                </c:pt>
                <c:pt idx="1">
                  <c:v>6.6000000000000003E-2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3B-4FE5-9BAD-984985A16773}"/>
            </c:ext>
          </c:extLst>
        </c:ser>
        <c:ser>
          <c:idx val="0"/>
          <c:order val="2"/>
          <c:tx>
            <c:strRef>
              <c:f>'[1]Lower Income'!$F$9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('[1]Lower Income'!$A$43:$A$45,'[1]Lower Income'!$A$43:$A$45,'[1]Lower Income'!$A$43:$A$45)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('[1]Lower Income'!$N$16:$N$18,'[1]Lower Income'!$F$43:$F$44)</c:f>
              <c:numCache>
                <c:formatCode>General</c:formatCode>
                <c:ptCount val="5"/>
                <c:pt idx="3">
                  <c:v>0.251</c:v>
                </c:pt>
                <c:pt idx="4">
                  <c:v>0.23200000000000001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3B-4FE5-9BAD-984985A16773}"/>
            </c:ext>
          </c:extLst>
        </c:ser>
        <c:ser>
          <c:idx val="1"/>
          <c:order val="3"/>
          <c:tx>
            <c:strRef>
              <c:f>'[1]Lower Income'!$G$9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('[1]Lower Income'!$A$43:$A$45,'[1]Lower Income'!$A$43:$A$45,'[1]Lower Income'!$A$43:$A$45)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('[1]Lower Income'!$N$16:$N$18,'[1]Lower Income'!$G$43:$G$44)</c:f>
              <c:numCache>
                <c:formatCode>General</c:formatCode>
                <c:ptCount val="5"/>
                <c:pt idx="3">
                  <c:v>0.29499999999999998</c:v>
                </c:pt>
                <c:pt idx="4">
                  <c:v>0.30499999999999999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3B-4FE5-9BAD-984985A16773}"/>
            </c:ext>
          </c:extLst>
        </c:ser>
        <c:ser>
          <c:idx val="4"/>
          <c:order val="4"/>
          <c:tx>
            <c:strRef>
              <c:f>'[1]Lower Income'!$H$9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('[1]Lower Income'!$A$43:$A$45,'[1]Lower Income'!$A$43:$A$45,'[1]Lower Income'!$A$43:$A$45)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('[1]Lower Income'!$N$16:$N$21,'[1]Lower Income'!$H$43:$H$44)</c:f>
              <c:numCache>
                <c:formatCode>General</c:formatCode>
                <c:ptCount val="8"/>
                <c:pt idx="6">
                  <c:v>0.49099999999999999</c:v>
                </c:pt>
                <c:pt idx="7">
                  <c:v>0.47799999999999998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3B-4FE5-9BAD-984985A16773}"/>
            </c:ext>
          </c:extLst>
        </c:ser>
        <c:ser>
          <c:idx val="5"/>
          <c:order val="5"/>
          <c:tx>
            <c:strRef>
              <c:f>'[1]Lower Income'!$I$9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('[1]Lower Income'!$A$43:$A$45,'[1]Lower Income'!$A$43:$A$45,'[1]Lower Income'!$A$43:$A$45)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('[1]Lower Income'!$N$16:$N$21,'[1]Lower Income'!$I$43:$I$44)</c:f>
              <c:numCache>
                <c:formatCode>General</c:formatCode>
                <c:ptCount val="8"/>
                <c:pt idx="6">
                  <c:v>5.5E-2</c:v>
                </c:pt>
                <c:pt idx="7">
                  <c:v>5.8000000000000003E-2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B-4FE5-9BAD-984985A16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6B81-44C1-8E6A-4E983320DF42}"/>
              </c:ext>
            </c:extLst>
          </c:dPt>
          <c:dPt>
            <c:idx val="2"/>
            <c:invertIfNegative val="0"/>
            <c:bubble3D val="0"/>
            <c:spPr>
              <a:solidFill>
                <a:srgbClr val="929292"/>
              </a:solidFill>
            </c:spPr>
            <c:extLst>
              <c:ext xmlns:c16="http://schemas.microsoft.com/office/drawing/2014/chart" uri="{C3380CC4-5D6E-409C-BE32-E72D297353CC}">
                <c16:uniqueId val="{00000001-6B81-44C1-8E6A-4E983320DF42}"/>
              </c:ext>
            </c:extLst>
          </c:dPt>
          <c:dPt>
            <c:idx val="3"/>
            <c:invertIfNegative val="0"/>
            <c:bubble3D val="0"/>
            <c:spPr>
              <a:solidFill>
                <a:srgbClr val="E2AA00"/>
              </a:solidFill>
            </c:spPr>
            <c:extLst>
              <c:ext xmlns:c16="http://schemas.microsoft.com/office/drawing/2014/chart" uri="{C3380CC4-5D6E-409C-BE32-E72D297353CC}">
                <c16:uniqueId val="{00000002-6B81-44C1-8E6A-4E983320DF42}"/>
              </c:ext>
            </c:extLst>
          </c:dPt>
          <c:dPt>
            <c:idx val="5"/>
            <c:invertIfNegative val="0"/>
            <c:bubble3D val="0"/>
            <c:spPr>
              <a:solidFill>
                <a:srgbClr val="3B64AD"/>
              </a:solidFill>
            </c:spPr>
            <c:extLst>
              <c:ext xmlns:c16="http://schemas.microsoft.com/office/drawing/2014/chart" uri="{C3380CC4-5D6E-409C-BE32-E72D297353CC}">
                <c16:uniqueId val="{00000003-6B81-44C1-8E6A-4E983320DF42}"/>
              </c:ext>
            </c:extLst>
          </c:dPt>
          <c:dPt>
            <c:idx val="6"/>
            <c:invertIfNegative val="0"/>
            <c:bubble3D val="0"/>
            <c:spPr>
              <a:solidFill>
                <a:srgbClr val="D26E2A"/>
              </a:solidFill>
            </c:spPr>
            <c:extLst>
              <c:ext xmlns:c16="http://schemas.microsoft.com/office/drawing/2014/chart" uri="{C3380CC4-5D6E-409C-BE32-E72D297353CC}">
                <c16:uniqueId val="{00000004-6B81-44C1-8E6A-4E983320DF42}"/>
              </c:ext>
            </c:extLst>
          </c:dPt>
          <c:dPt>
            <c:idx val="8"/>
            <c:invertIfNegative val="0"/>
            <c:bubble3D val="0"/>
            <c:spPr>
              <a:solidFill>
                <a:srgbClr val="5089BC"/>
              </a:solidFill>
            </c:spPr>
            <c:extLst>
              <c:ext xmlns:c16="http://schemas.microsoft.com/office/drawing/2014/chart" uri="{C3380CC4-5D6E-409C-BE32-E72D297353CC}">
                <c16:uniqueId val="{00000005-6B81-44C1-8E6A-4E983320DF42}"/>
              </c:ext>
            </c:extLst>
          </c:dPt>
          <c:dPt>
            <c:idx val="9"/>
            <c:invertIfNegative val="0"/>
            <c:bubble3D val="0"/>
            <c:spPr>
              <a:solidFill>
                <a:srgbClr val="62993E"/>
              </a:solidFill>
            </c:spPr>
            <c:extLst>
              <c:ext xmlns:c16="http://schemas.microsoft.com/office/drawing/2014/chart" uri="{C3380CC4-5D6E-409C-BE32-E72D297353CC}">
                <c16:uniqueId val="{00000006-6B81-44C1-8E6A-4E983320DF42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('[1]Lower Income'!$C$107,'[1]Lower Income'!$O$109,'[1]Lower Income'!$D$107,'[1]Lower Income'!$E$107,'[1]Lower Income'!$O$110,'[1]Lower Income'!$F$107,'[1]Lower Income'!$G$107,'[1]Lower Income'!$O$111,'[1]Lower Income'!$H$107,'[1]Lower Income'!$I$107)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('[1]Lower Income'!$C$108,'[1]Lower Income'!$O$109,'[1]Lower Income'!$D$108,'[1]Lower Income'!$E$108,'[1]Lower Income'!$O$109,'[1]Lower Income'!$F$108,'[1]Lower Income'!$G$108,'[1]Lower Income'!$O$110,'[1]Lower Income'!$H$108,'[1]Lower Income'!$I$108)</c:f>
              <c:numCache>
                <c:formatCode>General</c:formatCode>
                <c:ptCount val="10"/>
                <c:pt idx="0">
                  <c:v>0.755</c:v>
                </c:pt>
                <c:pt idx="2">
                  <c:v>0.748</c:v>
                </c:pt>
                <c:pt idx="3">
                  <c:v>0.79600000000000004</c:v>
                </c:pt>
                <c:pt idx="5">
                  <c:v>0.66100000000000003</c:v>
                </c:pt>
                <c:pt idx="6">
                  <c:v>0.83399999999999996</c:v>
                </c:pt>
                <c:pt idx="8">
                  <c:v>0.75</c:v>
                </c:pt>
                <c:pt idx="9">
                  <c:v>0.79400000000000004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702-469F-861F-4C9BA4955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00267664"/>
        <c:axId val="500265312"/>
      </c:barChart>
      <c:catAx>
        <c:axId val="50026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00265312"/>
        <c:crosses val="autoZero"/>
        <c:auto val="1"/>
        <c:lblAlgn val="ctr"/>
        <c:lblOffset val="100"/>
        <c:noMultiLvlLbl val="0"/>
      </c:catAx>
      <c:valAx>
        <c:axId val="500265312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500267664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'[1]Lower Income'!$D$9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('[1]Lower Income'!$A$76:$A$78,'[1]Lower Income'!$A$76:$A$78,'[1]Lower Income'!$A$76:$A$78)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'[1]Lower Income'!$D$76:$D$77</c:f>
              <c:numCache>
                <c:formatCode>General</c:formatCode>
                <c:ptCount val="2"/>
                <c:pt idx="0">
                  <c:v>0.55700000000000005</c:v>
                </c:pt>
                <c:pt idx="1">
                  <c:v>0.51200000000000001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95-4BF7-BDA0-546B79143B04}"/>
            </c:ext>
          </c:extLst>
        </c:ser>
        <c:ser>
          <c:idx val="3"/>
          <c:order val="1"/>
          <c:tx>
            <c:strRef>
              <c:f>'[1]Lower Income'!$E$9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('[1]Lower Income'!$A$76:$A$78,'[1]Lower Income'!$A$76:$A$78,'[1]Lower Income'!$A$76:$A$78)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'[1]Lower Income'!$E$76:$E$77</c:f>
              <c:numCache>
                <c:formatCode>General</c:formatCode>
                <c:ptCount val="2"/>
                <c:pt idx="0">
                  <c:v>7.3999999999999996E-2</c:v>
                </c:pt>
                <c:pt idx="1">
                  <c:v>7.3999999999999996E-2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95-4BF7-BDA0-546B79143B04}"/>
            </c:ext>
          </c:extLst>
        </c:ser>
        <c:ser>
          <c:idx val="0"/>
          <c:order val="2"/>
          <c:tx>
            <c:strRef>
              <c:f>'[1]Lower Income'!$F$9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('[1]Lower Income'!$A$76:$A$78,'[1]Lower Income'!$A$76:$A$78,'[1]Lower Income'!$A$76:$A$78)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('[1]Lower Income'!$K$76:$K$78,'[1]Lower Income'!$F$76:$F$77)</c:f>
              <c:numCache>
                <c:formatCode>General</c:formatCode>
                <c:ptCount val="5"/>
                <c:pt idx="3">
                  <c:v>0.313</c:v>
                </c:pt>
                <c:pt idx="4">
                  <c:v>0.27900000000000003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95-4BF7-BDA0-546B79143B04}"/>
            </c:ext>
          </c:extLst>
        </c:ser>
        <c:ser>
          <c:idx val="1"/>
          <c:order val="3"/>
          <c:tx>
            <c:strRef>
              <c:f>'[1]Lower Income'!$G$9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('[1]Lower Income'!$A$76:$A$78,'[1]Lower Income'!$A$76:$A$78,'[1]Lower Income'!$A$76:$A$78)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('[1]Lower Income'!$K$76:$K$78,'[1]Lower Income'!$G$76:$G$77)</c:f>
              <c:numCache>
                <c:formatCode>General</c:formatCode>
                <c:ptCount val="5"/>
                <c:pt idx="3">
                  <c:v>0.318</c:v>
                </c:pt>
                <c:pt idx="4">
                  <c:v>0.308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95-4BF7-BDA0-546B79143B04}"/>
            </c:ext>
          </c:extLst>
        </c:ser>
        <c:ser>
          <c:idx val="4"/>
          <c:order val="4"/>
          <c:tx>
            <c:strRef>
              <c:f>'[1]Lower Income'!$H$9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('[1]Lower Income'!$A$76:$A$78,'[1]Lower Income'!$A$76:$A$78,'[1]Lower Income'!$A$76:$A$78)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('[1]Lower Income'!$K$76:$K$81,'[1]Lower Income'!$H$76:$H$77)</c:f>
              <c:numCache>
                <c:formatCode>General</c:formatCode>
                <c:ptCount val="8"/>
                <c:pt idx="6">
                  <c:v>0.56899999999999995</c:v>
                </c:pt>
                <c:pt idx="7">
                  <c:v>0.52500000000000002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95-4BF7-BDA0-546B79143B04}"/>
            </c:ext>
          </c:extLst>
        </c:ser>
        <c:ser>
          <c:idx val="5"/>
          <c:order val="5"/>
          <c:tx>
            <c:strRef>
              <c:f>'[1]Lower Income'!$I$9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('[1]Lower Income'!$A$76:$A$78,'[1]Lower Income'!$A$76:$A$78,'[1]Lower Income'!$A$76:$A$78)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('[1]Lower Income'!$K$76:$K$81,'[1]Lower Income'!$I$76:$I$77)</c:f>
              <c:numCache>
                <c:formatCode>General</c:formatCode>
                <c:ptCount val="8"/>
                <c:pt idx="6">
                  <c:v>6.0999999999999999E-2</c:v>
                </c:pt>
                <c:pt idx="7">
                  <c:v>6.2E-2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95-4BF7-BDA0-546B79143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61000"/>
        <c:axId val="500272760"/>
      </c:barChart>
      <c:catAx>
        <c:axId val="500261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00272760"/>
        <c:crosses val="autoZero"/>
        <c:auto val="1"/>
        <c:lblAlgn val="ctr"/>
        <c:lblOffset val="100"/>
        <c:noMultiLvlLbl val="0"/>
      </c:catAx>
      <c:valAx>
        <c:axId val="500272760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50026100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'[1]Lower Income'!$D$9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('[1]Lower Income'!$A$139,'[1]Lower Income'!$A$139,'[1]Lower Income'!$A$139)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'[1]Lower Income'!$D$139</c:f>
              <c:numCache>
                <c:formatCode>General</c:formatCode>
                <c:ptCount val="1"/>
                <c:pt idx="0">
                  <c:v>0.24299999999999999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5B-4CA4-BDE9-18C320AA442D}"/>
            </c:ext>
          </c:extLst>
        </c:ser>
        <c:ser>
          <c:idx val="3"/>
          <c:order val="1"/>
          <c:tx>
            <c:strRef>
              <c:f>'[1]Lower Income'!$E$9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('[1]Lower Income'!$A$139,'[1]Lower Income'!$A$139,'[1]Lower Income'!$A$139)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'[1]Lower Income'!$E$139</c:f>
              <c:numCache>
                <c:formatCode>General</c:formatCode>
                <c:ptCount val="1"/>
                <c:pt idx="0">
                  <c:v>4.9000000000000002E-2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5B-4CA4-BDE9-18C320AA442D}"/>
            </c:ext>
          </c:extLst>
        </c:ser>
        <c:ser>
          <c:idx val="0"/>
          <c:order val="2"/>
          <c:tx>
            <c:strRef>
              <c:f>'[1]Lower Income'!$F$9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('[1]Lower Income'!$A$139,'[1]Lower Income'!$A$139,'[1]Lower Income'!$A$139)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('[1]Lower Income'!$F$140,'[1]Lower Income'!$F$139)</c:f>
              <c:numCache>
                <c:formatCode>General</c:formatCode>
                <c:ptCount val="2"/>
                <c:pt idx="1">
                  <c:v>9.0999999999999998E-2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5B-4CA4-BDE9-18C320AA442D}"/>
            </c:ext>
          </c:extLst>
        </c:ser>
        <c:ser>
          <c:idx val="1"/>
          <c:order val="3"/>
          <c:tx>
            <c:strRef>
              <c:f>'[1]Lower Income'!$G$9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('[1]Lower Income'!$A$139,'[1]Lower Income'!$A$139,'[1]Lower Income'!$A$139)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('[1]Lower Income'!$G$140,'[1]Lower Income'!$G$139)</c:f>
              <c:numCache>
                <c:formatCode>General</c:formatCode>
                <c:ptCount val="2"/>
                <c:pt idx="1">
                  <c:v>0.20100000000000001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5B-4CA4-BDE9-18C320AA442D}"/>
            </c:ext>
          </c:extLst>
        </c:ser>
        <c:ser>
          <c:idx val="4"/>
          <c:order val="4"/>
          <c:tx>
            <c:strRef>
              <c:f>'[1]Lower Income'!$H$9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('[1]Lower Income'!$A$139,'[1]Lower Income'!$A$139,'[1]Lower Income'!$A$139)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('[1]Lower Income'!$H$140:$H$141,'[1]Lower Income'!$H$139)</c:f>
              <c:numCache>
                <c:formatCode>General</c:formatCode>
                <c:ptCount val="3"/>
                <c:pt idx="2">
                  <c:v>0.255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5B-4CA4-BDE9-18C320AA442D}"/>
            </c:ext>
          </c:extLst>
        </c:ser>
        <c:ser>
          <c:idx val="5"/>
          <c:order val="5"/>
          <c:tx>
            <c:strRef>
              <c:f>'[1]Lower Income'!$I$9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('[1]Lower Income'!$A$139,'[1]Lower Income'!$A$139,'[1]Lower Income'!$A$139)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('[1]Lower Income'!$I$140:$I$141,'[1]Lower Income'!$I$139)</c:f>
              <c:numCache>
                <c:formatCode>General</c:formatCode>
                <c:ptCount val="3"/>
                <c:pt idx="2">
                  <c:v>3.6999999999999998E-2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25B-4CA4-BDE9-18C320AA4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62568"/>
        <c:axId val="500266096"/>
      </c:barChart>
      <c:catAx>
        <c:axId val="5002625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00266096"/>
        <c:crosses val="autoZero"/>
        <c:auto val="1"/>
        <c:lblAlgn val="ctr"/>
        <c:lblOffset val="100"/>
        <c:noMultiLvlLbl val="0"/>
      </c:catAx>
      <c:valAx>
        <c:axId val="500266096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5002625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'[1]Lower Income'!$D$9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('[1]Lower Income'!$A$10:$A$12,'[1]Lower Income'!$A$10:$A$12,'[1]Lower Income'!$A$10:$A$12)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'[1]Lower Income'!$D$10:$D$11</c:f>
              <c:numCache>
                <c:formatCode>General</c:formatCode>
                <c:ptCount val="2"/>
                <c:pt idx="0">
                  <c:v>0.437</c:v>
                </c:pt>
                <c:pt idx="1">
                  <c:v>0.46100000000000002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37-4DC5-BD90-13A426F45D26}"/>
            </c:ext>
          </c:extLst>
        </c:ser>
        <c:ser>
          <c:idx val="3"/>
          <c:order val="1"/>
          <c:tx>
            <c:strRef>
              <c:f>'[1]Lower Income'!$E$9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('[1]Lower Income'!$A$10:$A$12,'[1]Lower Income'!$A$10:$A$12,'[1]Lower Income'!$A$10:$A$12)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'[1]Lower Income'!$E$10:$E$11</c:f>
              <c:numCache>
                <c:formatCode>General</c:formatCode>
                <c:ptCount val="2"/>
                <c:pt idx="0">
                  <c:v>6.0999999999999999E-2</c:v>
                </c:pt>
                <c:pt idx="1">
                  <c:v>6.3E-2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37-4DC5-BD90-13A426F45D26}"/>
            </c:ext>
          </c:extLst>
        </c:ser>
        <c:ser>
          <c:idx val="0"/>
          <c:order val="2"/>
          <c:tx>
            <c:strRef>
              <c:f>'[1]Lower Income'!$F$9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('[1]Lower Income'!$A$10:$A$12,'[1]Lower Income'!$A$10:$A$12,'[1]Lower Income'!$A$10:$A$12)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('[1]Lower Income'!$N$16:$N$18,'[1]Lower Income'!$F$10:$F$11)</c:f>
              <c:numCache>
                <c:formatCode>General</c:formatCode>
                <c:ptCount val="5"/>
                <c:pt idx="3">
                  <c:v>0.20899999999999999</c:v>
                </c:pt>
                <c:pt idx="4">
                  <c:v>0.23100000000000001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37-4DC5-BD90-13A426F45D26}"/>
            </c:ext>
          </c:extLst>
        </c:ser>
        <c:ser>
          <c:idx val="1"/>
          <c:order val="3"/>
          <c:tx>
            <c:strRef>
              <c:f>'[1]Lower Income'!$G$9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('[1]Lower Income'!$A$10:$A$12,'[1]Lower Income'!$A$10:$A$12,'[1]Lower Income'!$A$10:$A$12)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('[1]Lower Income'!$N$16:$N$18,'[1]Lower Income'!$G$10:$G$11)</c:f>
              <c:numCache>
                <c:formatCode>General</c:formatCode>
                <c:ptCount val="5"/>
                <c:pt idx="3">
                  <c:v>0.28799999999999998</c:v>
                </c:pt>
                <c:pt idx="4">
                  <c:v>0.29299999999999998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37-4DC5-BD90-13A426F45D26}"/>
            </c:ext>
          </c:extLst>
        </c:ser>
        <c:ser>
          <c:idx val="4"/>
          <c:order val="4"/>
          <c:tx>
            <c:strRef>
              <c:f>'[1]Lower Income'!$H$9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('[1]Lower Income'!$A$10:$A$12,'[1]Lower Income'!$A$10:$A$12,'[1]Lower Income'!$A$10:$A$12)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('[1]Lower Income'!$N$16:$N$21,'[1]Lower Income'!$H$10:$H$11)</c:f>
              <c:numCache>
                <c:formatCode>General</c:formatCode>
                <c:ptCount val="8"/>
                <c:pt idx="6">
                  <c:v>0.44400000000000001</c:v>
                </c:pt>
                <c:pt idx="7">
                  <c:v>0.47299999999999998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37-4DC5-BD90-13A426F45D26}"/>
            </c:ext>
          </c:extLst>
        </c:ser>
        <c:ser>
          <c:idx val="5"/>
          <c:order val="5"/>
          <c:tx>
            <c:strRef>
              <c:f>'[1]Lower Income'!$I$9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('[1]Lower Income'!$A$10:$A$12,'[1]Lower Income'!$A$10:$A$12,'[1]Lower Income'!$A$10:$A$12)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('[1]Lower Income'!$N$16:$N$21,'[1]Lower Income'!$I$10:$I$11)</c:f>
              <c:numCache>
                <c:formatCode>General</c:formatCode>
                <c:ptCount val="8"/>
                <c:pt idx="6">
                  <c:v>5.2999999999999999E-2</c:v>
                </c:pt>
                <c:pt idx="7">
                  <c:v>5.0999999999999997E-2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37-4DC5-BD90-13A426F45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'[1]Higher Income'!$D$9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('[1]Higher Income'!$A$43:$A$45,'[1]Higher Income'!$A$43:$A$45,'[1]Higher Income'!$A$43:$A$45)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'[1]Higher Income'!$D$43:$D$44</c:f>
              <c:numCache>
                <c:formatCode>General</c:formatCode>
                <c:ptCount val="2"/>
                <c:pt idx="0">
                  <c:v>0.53600000000000003</c:v>
                </c:pt>
                <c:pt idx="1">
                  <c:v>0.51400000000000001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F4-4616-94C2-E2952F219875}"/>
            </c:ext>
          </c:extLst>
        </c:ser>
        <c:ser>
          <c:idx val="3"/>
          <c:order val="1"/>
          <c:tx>
            <c:strRef>
              <c:f>'[1]Higher Income'!$E$9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('[1]Higher Income'!$A$43:$A$45,'[1]Higher Income'!$A$43:$A$45,'[1]Higher Income'!$A$43:$A$45)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'[1]Higher Income'!$E$43:$E$44</c:f>
              <c:numCache>
                <c:formatCode>General</c:formatCode>
                <c:ptCount val="2"/>
                <c:pt idx="0">
                  <c:v>0.13700000000000001</c:v>
                </c:pt>
                <c:pt idx="1">
                  <c:v>0.13600000000000001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F4-4616-94C2-E2952F219875}"/>
            </c:ext>
          </c:extLst>
        </c:ser>
        <c:ser>
          <c:idx val="0"/>
          <c:order val="2"/>
          <c:tx>
            <c:strRef>
              <c:f>'[1]Higher Income'!$F$9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('[1]Higher Income'!$A$43:$A$45,'[1]Higher Income'!$A$43:$A$45,'[1]Higher Income'!$A$43:$A$45)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('[1]Higher Income'!$N$16:$N$18,'[1]Higher Income'!$F$43:$F$44)</c:f>
              <c:numCache>
                <c:formatCode>General</c:formatCode>
                <c:ptCount val="5"/>
                <c:pt idx="3">
                  <c:v>0.19900000000000001</c:v>
                </c:pt>
                <c:pt idx="4">
                  <c:v>0.183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F4-4616-94C2-E2952F219875}"/>
            </c:ext>
          </c:extLst>
        </c:ser>
        <c:ser>
          <c:idx val="1"/>
          <c:order val="3"/>
          <c:tx>
            <c:strRef>
              <c:f>'[1]Higher Income'!$G$9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('[1]Higher Income'!$A$43:$A$45,'[1]Higher Income'!$A$43:$A$45,'[1]Higher Income'!$A$43:$A$45)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('[1]Higher Income'!$N$16:$N$18,'[1]Higher Income'!$G$43:$G$44)</c:f>
              <c:numCache>
                <c:formatCode>General</c:formatCode>
                <c:ptCount val="5"/>
                <c:pt idx="3">
                  <c:v>0.47499999999999998</c:v>
                </c:pt>
                <c:pt idx="4">
                  <c:v>0.46800000000000003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F4-4616-94C2-E2952F219875}"/>
            </c:ext>
          </c:extLst>
        </c:ser>
        <c:ser>
          <c:idx val="4"/>
          <c:order val="4"/>
          <c:tx>
            <c:strRef>
              <c:f>'[1]Higher Income'!$H$9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('[1]Higher Income'!$A$43:$A$45,'[1]Higher Income'!$A$43:$A$45,'[1]Higher Income'!$A$43:$A$45)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('[1]Higher Income'!$N$16:$N$21,'[1]Higher Income'!$H$43:$H$44)</c:f>
              <c:numCache>
                <c:formatCode>General</c:formatCode>
                <c:ptCount val="8"/>
                <c:pt idx="6">
                  <c:v>0.51700000000000002</c:v>
                </c:pt>
                <c:pt idx="7">
                  <c:v>0.48599999999999999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F4-4616-94C2-E2952F219875}"/>
            </c:ext>
          </c:extLst>
        </c:ser>
        <c:ser>
          <c:idx val="5"/>
          <c:order val="5"/>
          <c:tx>
            <c:strRef>
              <c:f>'[1]Higher Income'!$I$9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('[1]Higher Income'!$A$43:$A$45,'[1]Higher Income'!$A$43:$A$45,'[1]Higher Income'!$A$43:$A$45)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('[1]Higher Income'!$N$16:$N$21,'[1]Higher Income'!$I$43:$I$44)</c:f>
              <c:numCache>
                <c:formatCode>General</c:formatCode>
                <c:ptCount val="8"/>
                <c:pt idx="6">
                  <c:v>0.156</c:v>
                </c:pt>
                <c:pt idx="7">
                  <c:v>0.16500000000000001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3F4-4616-94C2-E2952F219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0062-46CB-A24F-5E04399B880F}"/>
              </c:ext>
            </c:extLst>
          </c:dPt>
          <c:dPt>
            <c:idx val="5"/>
            <c:invertIfNegative val="0"/>
            <c:bubble3D val="0"/>
            <c:spPr>
              <a:solidFill>
                <a:srgbClr val="3B64AD"/>
              </a:solidFill>
            </c:spPr>
            <c:extLst>
              <c:ext xmlns:c16="http://schemas.microsoft.com/office/drawing/2014/chart" uri="{C3380CC4-5D6E-409C-BE32-E72D297353CC}">
                <c16:uniqueId val="{00000001-0062-46CB-A24F-5E04399B880F}"/>
              </c:ext>
            </c:extLst>
          </c:dPt>
          <c:dPt>
            <c:idx val="6"/>
            <c:invertIfNegative val="0"/>
            <c:bubble3D val="0"/>
            <c:spPr>
              <a:solidFill>
                <a:srgbClr val="D26E2A"/>
              </a:solidFill>
            </c:spPr>
            <c:extLst>
              <c:ext xmlns:c16="http://schemas.microsoft.com/office/drawing/2014/chart" uri="{C3380CC4-5D6E-409C-BE32-E72D297353CC}">
                <c16:uniqueId val="{00000002-0062-46CB-A24F-5E04399B880F}"/>
              </c:ext>
            </c:extLst>
          </c:dPt>
          <c:dPt>
            <c:idx val="8"/>
            <c:invertIfNegative val="0"/>
            <c:bubble3D val="0"/>
            <c:spPr>
              <a:solidFill>
                <a:srgbClr val="5089BC"/>
              </a:solidFill>
            </c:spPr>
            <c:extLst>
              <c:ext xmlns:c16="http://schemas.microsoft.com/office/drawing/2014/chart" uri="{C3380CC4-5D6E-409C-BE32-E72D297353CC}">
                <c16:uniqueId val="{00000003-0062-46CB-A24F-5E04399B880F}"/>
              </c:ext>
            </c:extLst>
          </c:dPt>
          <c:dPt>
            <c:idx val="9"/>
            <c:invertIfNegative val="0"/>
            <c:bubble3D val="0"/>
            <c:spPr>
              <a:solidFill>
                <a:srgbClr val="62993E"/>
              </a:solidFill>
            </c:spPr>
            <c:extLst>
              <c:ext xmlns:c16="http://schemas.microsoft.com/office/drawing/2014/chart" uri="{C3380CC4-5D6E-409C-BE32-E72D297353CC}">
                <c16:uniqueId val="{00000004-0062-46CB-A24F-5E04399B880F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('[1]Higher Income'!$C$107,'[1]Higher Income'!$O$109,'[1]Higher Income'!$D$107,'[1]Higher Income'!$E$107,'[1]Higher Income'!$O$110,'[1]Higher Income'!$F$107,'[1]Higher Income'!$G$107,'[1]Higher Income'!$O$111,'[1]Higher Income'!$H$107,'[1]Higher Income'!$I$107)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('[1]Higher Income'!$C$108,'[1]Higher Income'!$O$109,'[1]Higher Income'!$D$108,'[1]Higher Income'!$E$108,'[1]Higher Income'!$O$109,'[1]Higher Income'!$F$108,'[1]Higher Income'!$G$108,'[1]Higher Income'!$O$110,'[1]Higher Income'!$H$108,'[1]Higher Income'!$I$108)</c:f>
              <c:numCache>
                <c:formatCode>General</c:formatCode>
                <c:ptCount val="10"/>
                <c:pt idx="0">
                  <c:v>0.85899999999999999</c:v>
                </c:pt>
                <c:pt idx="2">
                  <c:v>0.84499999999999997</c:v>
                </c:pt>
                <c:pt idx="3">
                  <c:v>0.91300000000000003</c:v>
                </c:pt>
                <c:pt idx="5">
                  <c:v>0.72799999999999998</c:v>
                </c:pt>
                <c:pt idx="6">
                  <c:v>0.91400000000000003</c:v>
                </c:pt>
                <c:pt idx="8">
                  <c:v>0.84199999999999997</c:v>
                </c:pt>
                <c:pt idx="9">
                  <c:v>0.91700000000000004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162-4AC0-9FC9-7929FF402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00267664"/>
        <c:axId val="500265312"/>
      </c:barChart>
      <c:catAx>
        <c:axId val="50026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00265312"/>
        <c:crosses val="autoZero"/>
        <c:auto val="1"/>
        <c:lblAlgn val="ctr"/>
        <c:lblOffset val="100"/>
        <c:noMultiLvlLbl val="0"/>
      </c:catAx>
      <c:valAx>
        <c:axId val="500265312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500267664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'[1]Higher Income'!$D$9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('[1]Higher Income'!$A$76:$A$78,'[1]Higher Income'!$A$76:$A$78,'[1]Higher Income'!$A$76:$A$78)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'[1]Higher Income'!$D$76:$D$77</c:f>
              <c:numCache>
                <c:formatCode>General</c:formatCode>
                <c:ptCount val="2"/>
                <c:pt idx="0">
                  <c:v>0.59</c:v>
                </c:pt>
                <c:pt idx="1">
                  <c:v>0.56699999999999995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7D-4BDD-8276-1818840AF173}"/>
            </c:ext>
          </c:extLst>
        </c:ser>
        <c:ser>
          <c:idx val="3"/>
          <c:order val="1"/>
          <c:tx>
            <c:strRef>
              <c:f>'[1]Higher Income'!$E$9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('[1]Higher Income'!$A$76:$A$78,'[1]Higher Income'!$A$76:$A$78,'[1]Higher Income'!$A$76:$A$78)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'[1]Higher Income'!$E$76:$E$77</c:f>
              <c:numCache>
                <c:formatCode>General</c:formatCode>
                <c:ptCount val="2"/>
                <c:pt idx="0">
                  <c:v>0.14799999999999999</c:v>
                </c:pt>
                <c:pt idx="1">
                  <c:v>0.14299999999999999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7D-4BDD-8276-1818840AF173}"/>
            </c:ext>
          </c:extLst>
        </c:ser>
        <c:ser>
          <c:idx val="0"/>
          <c:order val="2"/>
          <c:tx>
            <c:strRef>
              <c:f>'[1]Higher Income'!$F$9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('[1]Higher Income'!$A$76:$A$78,'[1]Higher Income'!$A$76:$A$78,'[1]Higher Income'!$A$76:$A$78)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('[1]Higher Income'!$K$76:$K$78,'[1]Higher Income'!$F$76:$F$77)</c:f>
              <c:numCache>
                <c:formatCode>General</c:formatCode>
                <c:ptCount val="5"/>
                <c:pt idx="3">
                  <c:v>0.23100000000000001</c:v>
                </c:pt>
                <c:pt idx="4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7D-4BDD-8276-1818840AF173}"/>
            </c:ext>
          </c:extLst>
        </c:ser>
        <c:ser>
          <c:idx val="1"/>
          <c:order val="3"/>
          <c:tx>
            <c:strRef>
              <c:f>'[1]Higher Income'!$G$9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('[1]Higher Income'!$A$76:$A$78,'[1]Higher Income'!$A$76:$A$78,'[1]Higher Income'!$A$76:$A$78)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('[1]Higher Income'!$K$76:$K$78,'[1]Higher Income'!$G$76:$G$77)</c:f>
              <c:numCache>
                <c:formatCode>General</c:formatCode>
                <c:ptCount val="5"/>
                <c:pt idx="3">
                  <c:v>0.50700000000000001</c:v>
                </c:pt>
                <c:pt idx="4">
                  <c:v>0.49099999999999999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7D-4BDD-8276-1818840AF173}"/>
            </c:ext>
          </c:extLst>
        </c:ser>
        <c:ser>
          <c:idx val="4"/>
          <c:order val="4"/>
          <c:tx>
            <c:strRef>
              <c:f>'[1]Higher Income'!$H$9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('[1]Higher Income'!$A$76:$A$78,'[1]Higher Income'!$A$76:$A$78,'[1]Higher Income'!$A$76:$A$78)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('[1]Higher Income'!$K$76:$K$81,'[1]Higher Income'!$H$76:$H$77)</c:f>
              <c:numCache>
                <c:formatCode>General</c:formatCode>
                <c:ptCount val="8"/>
                <c:pt idx="6">
                  <c:v>0.56699999999999995</c:v>
                </c:pt>
                <c:pt idx="7">
                  <c:v>0.54500000000000004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7D-4BDD-8276-1818840AF173}"/>
            </c:ext>
          </c:extLst>
        </c:ser>
        <c:ser>
          <c:idx val="5"/>
          <c:order val="5"/>
          <c:tx>
            <c:strRef>
              <c:f>'[1]Higher Income'!$I$9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('[1]Higher Income'!$A$76:$A$78,'[1]Higher Income'!$A$76:$A$78,'[1]Higher Income'!$A$76:$A$78)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('[1]Higher Income'!$K$76:$K$81,'[1]Higher Income'!$I$76:$I$77)</c:f>
              <c:numCache>
                <c:formatCode>General</c:formatCode>
                <c:ptCount val="8"/>
                <c:pt idx="6">
                  <c:v>0.17</c:v>
                </c:pt>
                <c:pt idx="7">
                  <c:v>0.16600000000000001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77D-4BDD-8276-1818840AF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61000"/>
        <c:axId val="500272760"/>
      </c:barChart>
      <c:catAx>
        <c:axId val="500261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00272760"/>
        <c:crosses val="autoZero"/>
        <c:auto val="1"/>
        <c:lblAlgn val="ctr"/>
        <c:lblOffset val="100"/>
        <c:noMultiLvlLbl val="0"/>
      </c:catAx>
      <c:valAx>
        <c:axId val="500272760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50026100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'[1]Higher Income'!$D$9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('[1]Higher Income'!$A$139,'[1]Higher Income'!$A$139,'[1]Higher Income'!$A$139)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'[1]Higher Income'!$D$139</c:f>
              <c:numCache>
                <c:formatCode>General</c:formatCode>
                <c:ptCount val="1"/>
                <c:pt idx="0">
                  <c:v>0.379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F8-4021-8601-277BA88129CF}"/>
            </c:ext>
          </c:extLst>
        </c:ser>
        <c:ser>
          <c:idx val="3"/>
          <c:order val="1"/>
          <c:tx>
            <c:strRef>
              <c:f>'[1]Higher Income'!$E$9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('[1]Higher Income'!$A$139,'[1]Higher Income'!$A$139,'[1]Higher Income'!$A$139)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'[1]Higher Income'!$E$139</c:f>
              <c:numCache>
                <c:formatCode>General</c:formatCode>
                <c:ptCount val="1"/>
                <c:pt idx="0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F8-4021-8601-277BA88129CF}"/>
            </c:ext>
          </c:extLst>
        </c:ser>
        <c:ser>
          <c:idx val="0"/>
          <c:order val="2"/>
          <c:tx>
            <c:strRef>
              <c:f>'[1]Higher Income'!$F$9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('[1]Higher Income'!$A$139,'[1]Higher Income'!$A$139,'[1]Higher Income'!$A$139)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('[1]Higher Income'!$F$140,'[1]Higher Income'!$F$139)</c:f>
              <c:numCache>
                <c:formatCode>General</c:formatCode>
                <c:ptCount val="2"/>
                <c:pt idx="1">
                  <c:v>9.1999999999999998E-2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F8-4021-8601-277BA88129CF}"/>
            </c:ext>
          </c:extLst>
        </c:ser>
        <c:ser>
          <c:idx val="1"/>
          <c:order val="3"/>
          <c:tx>
            <c:strRef>
              <c:f>'[1]Higher Income'!$G$9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('[1]Higher Income'!$A$139,'[1]Higher Income'!$A$139,'[1]Higher Income'!$A$139)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('[1]Higher Income'!$G$140,'[1]Higher Income'!$G$139)</c:f>
              <c:numCache>
                <c:formatCode>General</c:formatCode>
                <c:ptCount val="2"/>
                <c:pt idx="1">
                  <c:v>0.41099999999999998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F8-4021-8601-277BA88129CF}"/>
            </c:ext>
          </c:extLst>
        </c:ser>
        <c:ser>
          <c:idx val="4"/>
          <c:order val="4"/>
          <c:tx>
            <c:strRef>
              <c:f>'[1]Higher Income'!$H$9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('[1]Higher Income'!$A$139,'[1]Higher Income'!$A$139,'[1]Higher Income'!$A$139)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('[1]Higher Income'!$H$140:$H$141,'[1]Higher Income'!$H$139)</c:f>
              <c:numCache>
                <c:formatCode>General</c:formatCode>
                <c:ptCount val="3"/>
                <c:pt idx="2">
                  <c:v>0.36699999999999999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F8-4021-8601-277BA88129CF}"/>
            </c:ext>
          </c:extLst>
        </c:ser>
        <c:ser>
          <c:idx val="5"/>
          <c:order val="5"/>
          <c:tx>
            <c:strRef>
              <c:f>'[1]Higher Income'!$I$9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('[1]Higher Income'!$A$139,'[1]Higher Income'!$A$139,'[1]Higher Income'!$A$139)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('[1]Higher Income'!$I$140:$I$141,'[1]Higher Income'!$I$139)</c:f>
              <c:numCache>
                <c:formatCode>General</c:formatCode>
                <c:ptCount val="3"/>
                <c:pt idx="2">
                  <c:v>0.13700000000000001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5F8-4021-8601-277BA8812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62568"/>
        <c:axId val="500266096"/>
      </c:barChart>
      <c:catAx>
        <c:axId val="5002625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00266096"/>
        <c:crosses val="autoZero"/>
        <c:auto val="1"/>
        <c:lblAlgn val="ctr"/>
        <c:lblOffset val="100"/>
        <c:noMultiLvlLbl val="0"/>
      </c:catAx>
      <c:valAx>
        <c:axId val="500266096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5002625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5-F57B-49BB-B8C7-CAFC58A8EB5E}"/>
              </c:ext>
            </c:extLst>
          </c:dPt>
          <c:dPt>
            <c:idx val="3"/>
            <c:invertIfNegative val="0"/>
            <c:bubble3D val="0"/>
            <c:spPr>
              <a:solidFill>
                <a:srgbClr val="E2AA00"/>
              </a:solidFill>
            </c:spPr>
            <c:extLst>
              <c:ext xmlns:c16="http://schemas.microsoft.com/office/drawing/2014/chart" uri="{C3380CC4-5D6E-409C-BE32-E72D297353CC}">
                <c16:uniqueId val="{00000000-F57B-49BB-B8C7-CAFC58A8EB5E}"/>
              </c:ext>
            </c:extLst>
          </c:dPt>
          <c:dPt>
            <c:idx val="5"/>
            <c:invertIfNegative val="0"/>
            <c:bubble3D val="0"/>
            <c:spPr>
              <a:solidFill>
                <a:srgbClr val="3B64AD"/>
              </a:solidFill>
            </c:spPr>
            <c:extLst>
              <c:ext xmlns:c16="http://schemas.microsoft.com/office/drawing/2014/chart" uri="{C3380CC4-5D6E-409C-BE32-E72D297353CC}">
                <c16:uniqueId val="{00000001-F57B-49BB-B8C7-CAFC58A8EB5E}"/>
              </c:ext>
            </c:extLst>
          </c:dPt>
          <c:dPt>
            <c:idx val="6"/>
            <c:invertIfNegative val="0"/>
            <c:bubble3D val="0"/>
            <c:spPr>
              <a:solidFill>
                <a:srgbClr val="D26E2A"/>
              </a:solidFill>
            </c:spPr>
            <c:extLst>
              <c:ext xmlns:c16="http://schemas.microsoft.com/office/drawing/2014/chart" uri="{C3380CC4-5D6E-409C-BE32-E72D297353CC}">
                <c16:uniqueId val="{00000002-F57B-49BB-B8C7-CAFC58A8EB5E}"/>
              </c:ext>
            </c:extLst>
          </c:dPt>
          <c:dPt>
            <c:idx val="8"/>
            <c:invertIfNegative val="0"/>
            <c:bubble3D val="0"/>
            <c:spPr>
              <a:solidFill>
                <a:srgbClr val="5089BC"/>
              </a:solidFill>
            </c:spPr>
            <c:extLst>
              <c:ext xmlns:c16="http://schemas.microsoft.com/office/drawing/2014/chart" uri="{C3380CC4-5D6E-409C-BE32-E72D297353CC}">
                <c16:uniqueId val="{00000003-F57B-49BB-B8C7-CAFC58A8EB5E}"/>
              </c:ext>
            </c:extLst>
          </c:dPt>
          <c:dPt>
            <c:idx val="9"/>
            <c:invertIfNegative val="0"/>
            <c:bubble3D val="0"/>
            <c:spPr>
              <a:solidFill>
                <a:srgbClr val="62993E"/>
              </a:solidFill>
            </c:spPr>
            <c:extLst>
              <c:ext xmlns:c16="http://schemas.microsoft.com/office/drawing/2014/chart" uri="{C3380CC4-5D6E-409C-BE32-E72D297353CC}">
                <c16:uniqueId val="{00000004-F57B-49BB-B8C7-CAFC58A8EB5E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('[1]High Poverty'!$C$107,'[1]High Poverty'!$O$109,'[1]High Poverty'!$D$107,'[1]High Poverty'!$E$107,'[1]High Poverty'!$O$110,'[1]High Poverty'!$F$107,'[1]High Poverty'!$G$107,'[1]High Poverty'!$O$111,'[1]High Poverty'!$H$107,'[1]High Poverty'!$I$107)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('[1]High Poverty'!$C$108,'[1]High Poverty'!$O$109,'[1]High Poverty'!$D$108,'[1]High Poverty'!$E$108,'[1]High Poverty'!$O$109,'[1]High Poverty'!$F$108,'[1]High Poverty'!$G$108,'[1]High Poverty'!$O$110,'[1]High Poverty'!$H$108,'[1]High Poverty'!$I$108)</c:f>
              <c:numCache>
                <c:formatCode>General</c:formatCode>
                <c:ptCount val="10"/>
                <c:pt idx="0">
                  <c:v>0.72</c:v>
                </c:pt>
                <c:pt idx="2">
                  <c:v>0.71599999999999997</c:v>
                </c:pt>
                <c:pt idx="3">
                  <c:v>0.746</c:v>
                </c:pt>
                <c:pt idx="5">
                  <c:v>0.63200000000000001</c:v>
                </c:pt>
                <c:pt idx="6">
                  <c:v>0.80200000000000005</c:v>
                </c:pt>
                <c:pt idx="8">
                  <c:v>0.71799999999999997</c:v>
                </c:pt>
                <c:pt idx="9">
                  <c:v>0.74199999999999999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BB1-492F-8BE7-AC46C78A7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00267664"/>
        <c:axId val="500265312"/>
      </c:barChart>
      <c:catAx>
        <c:axId val="50026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00265312"/>
        <c:crosses val="autoZero"/>
        <c:auto val="1"/>
        <c:lblAlgn val="ctr"/>
        <c:lblOffset val="100"/>
        <c:noMultiLvlLbl val="0"/>
      </c:catAx>
      <c:valAx>
        <c:axId val="500265312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500267664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'[1]Higher Income'!$D$9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('[1]Higher Income'!$A$10:$A$12,'[1]Higher Income'!$A$10:$A$12,'[1]Higher Income'!$A$10:$A$12)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'[1]Higher Income'!$D$10:$D$11</c:f>
              <c:numCache>
                <c:formatCode>General</c:formatCode>
                <c:ptCount val="2"/>
                <c:pt idx="0">
                  <c:v>0.49099999999999999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3-496B-9C16-BEEE42162923}"/>
            </c:ext>
          </c:extLst>
        </c:ser>
        <c:ser>
          <c:idx val="3"/>
          <c:order val="1"/>
          <c:tx>
            <c:strRef>
              <c:f>'[1]Higher Income'!$E$9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('[1]Higher Income'!$A$10:$A$12,'[1]Higher Income'!$A$10:$A$12,'[1]Higher Income'!$A$10:$A$12)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'[1]Higher Income'!$E$10:$E$11</c:f>
              <c:numCache>
                <c:formatCode>General</c:formatCode>
                <c:ptCount val="2"/>
                <c:pt idx="0">
                  <c:v>0.13100000000000001</c:v>
                </c:pt>
                <c:pt idx="1">
                  <c:v>0.13200000000000001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3-496B-9C16-BEEE42162923}"/>
            </c:ext>
          </c:extLst>
        </c:ser>
        <c:ser>
          <c:idx val="0"/>
          <c:order val="2"/>
          <c:tx>
            <c:strRef>
              <c:f>'[1]Higher Income'!$F$9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('[1]Higher Income'!$A$10:$A$12,'[1]Higher Income'!$A$10:$A$12,'[1]Higher Income'!$A$10:$A$12)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('[1]Higher Income'!$N$16:$N$18,'[1]Higher Income'!$F$10:$F$11)</c:f>
              <c:numCache>
                <c:formatCode>General</c:formatCode>
                <c:ptCount val="5"/>
                <c:pt idx="3">
                  <c:v>0.16900000000000001</c:v>
                </c:pt>
                <c:pt idx="4">
                  <c:v>0.16400000000000001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3-496B-9C16-BEEE42162923}"/>
            </c:ext>
          </c:extLst>
        </c:ser>
        <c:ser>
          <c:idx val="1"/>
          <c:order val="3"/>
          <c:tx>
            <c:strRef>
              <c:f>'[1]Higher Income'!$G$9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('[1]Higher Income'!$A$10:$A$12,'[1]Higher Income'!$A$10:$A$12,'[1]Higher Income'!$A$10:$A$12)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('[1]Higher Income'!$N$16:$N$18,'[1]Higher Income'!$G$10:$G$11)</c:f>
              <c:numCache>
                <c:formatCode>General</c:formatCode>
                <c:ptCount val="5"/>
                <c:pt idx="3">
                  <c:v>0.45300000000000001</c:v>
                </c:pt>
                <c:pt idx="4">
                  <c:v>0.46800000000000003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3-496B-9C16-BEEE42162923}"/>
            </c:ext>
          </c:extLst>
        </c:ser>
        <c:ser>
          <c:idx val="4"/>
          <c:order val="4"/>
          <c:tx>
            <c:strRef>
              <c:f>'[1]Higher Income'!$H$9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('[1]Higher Income'!$A$10:$A$12,'[1]Higher Income'!$A$10:$A$12,'[1]Higher Income'!$A$10:$A$12)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('[1]Higher Income'!$N$16:$N$21,'[1]Higher Income'!$H$10:$H$11)</c:f>
              <c:numCache>
                <c:formatCode>General</c:formatCode>
                <c:ptCount val="8"/>
                <c:pt idx="6">
                  <c:v>0.46300000000000002</c:v>
                </c:pt>
                <c:pt idx="7">
                  <c:v>0.46700000000000003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F3-496B-9C16-BEEE42162923}"/>
            </c:ext>
          </c:extLst>
        </c:ser>
        <c:ser>
          <c:idx val="5"/>
          <c:order val="5"/>
          <c:tx>
            <c:strRef>
              <c:f>'[1]Higher Income'!$I$9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('[1]Higher Income'!$A$10:$A$12,'[1]Higher Income'!$A$10:$A$12,'[1]Higher Income'!$A$10:$A$12)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('[1]Higher Income'!$N$16:$N$21,'[1]Higher Income'!$I$10:$I$11)</c:f>
              <c:numCache>
                <c:formatCode>General</c:formatCode>
                <c:ptCount val="8"/>
                <c:pt idx="6">
                  <c:v>0.159</c:v>
                </c:pt>
                <c:pt idx="7">
                  <c:v>0.16500000000000001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F3-496B-9C16-BEEE42162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'[1]High Minority'!$D$9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 Minority'!$A$43:$A$45,'[1]High Minority'!$A$43:$A$45,'[1]High Minority'!$A$43:$A$45)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'[1]High Minority'!$D$43:$D$44</c:f>
              <c:numCache>
                <c:formatCode>General</c:formatCode>
                <c:ptCount val="2"/>
                <c:pt idx="0">
                  <c:v>0.49199999999999999</c:v>
                </c:pt>
                <c:pt idx="1">
                  <c:v>0.47799999999999998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E0-4F5F-8349-F39378362601}"/>
            </c:ext>
          </c:extLst>
        </c:ser>
        <c:ser>
          <c:idx val="3"/>
          <c:order val="1"/>
          <c:tx>
            <c:strRef>
              <c:f>'[1]High Minority'!$E$9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 Minority'!$A$43:$A$45,'[1]High Minority'!$A$43:$A$45,'[1]High Minority'!$A$43:$A$45)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'[1]High Minority'!$E$43:$E$44</c:f>
              <c:numCache>
                <c:formatCode>General</c:formatCode>
                <c:ptCount val="2"/>
                <c:pt idx="0">
                  <c:v>7.8E-2</c:v>
                </c:pt>
                <c:pt idx="1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E0-4F5F-8349-F39378362601}"/>
            </c:ext>
          </c:extLst>
        </c:ser>
        <c:ser>
          <c:idx val="0"/>
          <c:order val="2"/>
          <c:tx>
            <c:strRef>
              <c:f>'[1]High Minority'!$F$9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 Minority'!$A$43:$A$45,'[1]High Minority'!$A$43:$A$45,'[1]High Minority'!$A$43:$A$45)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('[1]High Minority'!$N$16:$N$18,'[1]High Minority'!$F$43:$F$44)</c:f>
              <c:numCache>
                <c:formatCode>General</c:formatCode>
                <c:ptCount val="5"/>
                <c:pt idx="3">
                  <c:v>0.24099999999999999</c:v>
                </c:pt>
                <c:pt idx="4">
                  <c:v>0.219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E0-4F5F-8349-F39378362601}"/>
            </c:ext>
          </c:extLst>
        </c:ser>
        <c:ser>
          <c:idx val="1"/>
          <c:order val="3"/>
          <c:tx>
            <c:strRef>
              <c:f>'[1]High Minority'!$G$9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 Minority'!$A$43:$A$45,'[1]High Minority'!$A$43:$A$45,'[1]High Minority'!$A$43:$A$45)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('[1]High Minority'!$N$16:$N$18,'[1]High Minority'!$G$43:$G$44)</c:f>
              <c:numCache>
                <c:formatCode>General</c:formatCode>
                <c:ptCount val="5"/>
                <c:pt idx="3">
                  <c:v>0.32900000000000001</c:v>
                </c:pt>
                <c:pt idx="4">
                  <c:v>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E0-4F5F-8349-F39378362601}"/>
            </c:ext>
          </c:extLst>
        </c:ser>
        <c:ser>
          <c:idx val="4"/>
          <c:order val="4"/>
          <c:tx>
            <c:strRef>
              <c:f>'[1]High Minority'!$H$9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 Minority'!$A$43:$A$45,'[1]High Minority'!$A$43:$A$45,'[1]High Minority'!$A$43:$A$45)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('[1]High Minority'!$N$16:$N$21,'[1]High Minority'!$H$43:$H$44)</c:f>
              <c:numCache>
                <c:formatCode>General</c:formatCode>
                <c:ptCount val="8"/>
                <c:pt idx="6">
                  <c:v>0.501</c:v>
                </c:pt>
                <c:pt idx="7">
                  <c:v>0.48199999999999998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E0-4F5F-8349-F39378362601}"/>
            </c:ext>
          </c:extLst>
        </c:ser>
        <c:ser>
          <c:idx val="5"/>
          <c:order val="5"/>
          <c:tx>
            <c:strRef>
              <c:f>'[1]High Minority'!$I$9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 Minority'!$A$43:$A$45,'[1]High Minority'!$A$43:$A$45,'[1]High Minority'!$A$43:$A$45)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('[1]High Minority'!$N$16:$N$21,'[1]High Minority'!$I$43:$I$44)</c:f>
              <c:numCache>
                <c:formatCode>General</c:formatCode>
                <c:ptCount val="8"/>
                <c:pt idx="6">
                  <c:v>6.8000000000000005E-2</c:v>
                </c:pt>
                <c:pt idx="7">
                  <c:v>7.5999999999999998E-2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E0-4F5F-8349-F39378362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D485-42AF-84EB-AA7C3305807D}"/>
              </c:ext>
            </c:extLst>
          </c:dPt>
          <c:dPt>
            <c:idx val="5"/>
            <c:invertIfNegative val="0"/>
            <c:bubble3D val="0"/>
            <c:spPr>
              <a:solidFill>
                <a:srgbClr val="3B64AD"/>
              </a:solidFill>
            </c:spPr>
            <c:extLst>
              <c:ext xmlns:c16="http://schemas.microsoft.com/office/drawing/2014/chart" uri="{C3380CC4-5D6E-409C-BE32-E72D297353CC}">
                <c16:uniqueId val="{00000001-D485-42AF-84EB-AA7C3305807D}"/>
              </c:ext>
            </c:extLst>
          </c:dPt>
          <c:dPt>
            <c:idx val="6"/>
            <c:invertIfNegative val="0"/>
            <c:bubble3D val="0"/>
            <c:spPr>
              <a:solidFill>
                <a:srgbClr val="D26E2A"/>
              </a:solidFill>
            </c:spPr>
            <c:extLst>
              <c:ext xmlns:c16="http://schemas.microsoft.com/office/drawing/2014/chart" uri="{C3380CC4-5D6E-409C-BE32-E72D297353CC}">
                <c16:uniqueId val="{00000002-D485-42AF-84EB-AA7C3305807D}"/>
              </c:ext>
            </c:extLst>
          </c:dPt>
          <c:dPt>
            <c:idx val="8"/>
            <c:invertIfNegative val="0"/>
            <c:bubble3D val="0"/>
            <c:spPr>
              <a:solidFill>
                <a:srgbClr val="5089BC"/>
              </a:solidFill>
            </c:spPr>
            <c:extLst>
              <c:ext xmlns:c16="http://schemas.microsoft.com/office/drawing/2014/chart" uri="{C3380CC4-5D6E-409C-BE32-E72D297353CC}">
                <c16:uniqueId val="{00000003-D485-42AF-84EB-AA7C3305807D}"/>
              </c:ext>
            </c:extLst>
          </c:dPt>
          <c:dPt>
            <c:idx val="9"/>
            <c:invertIfNegative val="0"/>
            <c:bubble3D val="0"/>
            <c:spPr>
              <a:solidFill>
                <a:srgbClr val="62993E"/>
              </a:solidFill>
            </c:spPr>
            <c:extLst>
              <c:ext xmlns:c16="http://schemas.microsoft.com/office/drawing/2014/chart" uri="{C3380CC4-5D6E-409C-BE32-E72D297353CC}">
                <c16:uniqueId val="{00000004-D485-42AF-84EB-AA7C3305807D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('[1]High Minority'!$C$107,'[1]High Minority'!$O$109,'[1]High Minority'!$D$107,'[1]High Minority'!$E$107,'[1]High Minority'!$O$110,'[1]High Minority'!$F$107,'[1]High Minority'!$G$107,'[1]High Minority'!$O$111,'[1]High Minority'!$H$107,'[1]High Minority'!$I$107)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('[1]High Minority'!$C$108,'[1]High Minority'!$O$109,'[1]High Minority'!$D$108,'[1]High Minority'!$E$108,'[1]High Minority'!$O$109,'[1]High Minority'!$F$108,'[1]High Minority'!$G$108,'[1]High Minority'!$O$110,'[1]High Minority'!$H$108,'[1]High Minority'!$I$108)</c:f>
              <c:numCache>
                <c:formatCode>General</c:formatCode>
                <c:ptCount val="10"/>
                <c:pt idx="0">
                  <c:v>0.77800000000000002</c:v>
                </c:pt>
                <c:pt idx="2">
                  <c:v>0.77200000000000002</c:v>
                </c:pt>
                <c:pt idx="3">
                  <c:v>0.82</c:v>
                </c:pt>
                <c:pt idx="5">
                  <c:v>0.67600000000000005</c:v>
                </c:pt>
                <c:pt idx="6">
                  <c:v>0.85299999999999998</c:v>
                </c:pt>
                <c:pt idx="8">
                  <c:v>0.77100000000000002</c:v>
                </c:pt>
                <c:pt idx="9">
                  <c:v>0.83099999999999996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4F5-4222-AB93-6F3896676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00267664"/>
        <c:axId val="500265312"/>
      </c:barChart>
      <c:catAx>
        <c:axId val="50026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00265312"/>
        <c:crosses val="autoZero"/>
        <c:auto val="1"/>
        <c:lblAlgn val="ctr"/>
        <c:lblOffset val="100"/>
        <c:noMultiLvlLbl val="0"/>
      </c:catAx>
      <c:valAx>
        <c:axId val="500265312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500267664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'[1]High Minority'!$D$9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 Minority'!$A$76:$A$78,'[1]High Minority'!$A$76:$A$78,'[1]High Minority'!$A$76:$A$78)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'[1]High Minority'!$D$76:$D$77</c:f>
              <c:numCache>
                <c:formatCode>General</c:formatCode>
                <c:ptCount val="2"/>
                <c:pt idx="0">
                  <c:v>0.56899999999999995</c:v>
                </c:pt>
                <c:pt idx="1">
                  <c:v>0.52800000000000002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19-495E-8A09-D9B949E2FD7E}"/>
            </c:ext>
          </c:extLst>
        </c:ser>
        <c:ser>
          <c:idx val="3"/>
          <c:order val="1"/>
          <c:tx>
            <c:strRef>
              <c:f>'[1]High Minority'!$E$9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 Minority'!$A$76:$A$78,'[1]High Minority'!$A$76:$A$78,'[1]High Minority'!$A$76:$A$78)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'[1]High Minority'!$E$76:$E$77</c:f>
              <c:numCache>
                <c:formatCode>General</c:formatCode>
                <c:ptCount val="2"/>
                <c:pt idx="0">
                  <c:v>8.2000000000000003E-2</c:v>
                </c:pt>
                <c:pt idx="1">
                  <c:v>8.3000000000000004E-2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19-495E-8A09-D9B949E2FD7E}"/>
            </c:ext>
          </c:extLst>
        </c:ser>
        <c:ser>
          <c:idx val="0"/>
          <c:order val="2"/>
          <c:tx>
            <c:strRef>
              <c:f>'[1]High Minority'!$F$9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 Minority'!$A$76:$A$78,'[1]High Minority'!$A$76:$A$78,'[1]High Minority'!$A$76:$A$78)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('[1]High Minority'!$K$76:$K$78,'[1]High Minority'!$F$76:$F$77)</c:f>
              <c:numCache>
                <c:formatCode>General</c:formatCode>
                <c:ptCount val="5"/>
                <c:pt idx="3">
                  <c:v>0.30099999999999999</c:v>
                </c:pt>
                <c:pt idx="4">
                  <c:v>0.26900000000000002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19-495E-8A09-D9B949E2FD7E}"/>
            </c:ext>
          </c:extLst>
        </c:ser>
        <c:ser>
          <c:idx val="1"/>
          <c:order val="3"/>
          <c:tx>
            <c:strRef>
              <c:f>'[1]High Minority'!$G$9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 Minority'!$A$76:$A$78,'[1]High Minority'!$A$76:$A$78,'[1]High Minority'!$A$76:$A$78)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('[1]High Minority'!$K$76:$K$78,'[1]High Minority'!$G$76:$G$77)</c:f>
              <c:numCache>
                <c:formatCode>General</c:formatCode>
                <c:ptCount val="5"/>
                <c:pt idx="3">
                  <c:v>0.35099999999999998</c:v>
                </c:pt>
                <c:pt idx="4">
                  <c:v>0.34300000000000003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19-495E-8A09-D9B949E2FD7E}"/>
            </c:ext>
          </c:extLst>
        </c:ser>
        <c:ser>
          <c:idx val="4"/>
          <c:order val="4"/>
          <c:tx>
            <c:strRef>
              <c:f>'[1]High Minority'!$H$9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 Minority'!$A$76:$A$78,'[1]High Minority'!$A$76:$A$78,'[1]High Minority'!$A$76:$A$78)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('[1]High Minority'!$K$76:$K$81,'[1]High Minority'!$H$76:$H$77)</c:f>
              <c:numCache>
                <c:formatCode>General</c:formatCode>
                <c:ptCount val="8"/>
                <c:pt idx="6">
                  <c:v>0.57499999999999996</c:v>
                </c:pt>
                <c:pt idx="7">
                  <c:v>0.53500000000000003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19-495E-8A09-D9B949E2FD7E}"/>
            </c:ext>
          </c:extLst>
        </c:ser>
        <c:ser>
          <c:idx val="5"/>
          <c:order val="5"/>
          <c:tx>
            <c:strRef>
              <c:f>'[1]High Minority'!$I$9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 Minority'!$A$76:$A$78,'[1]High Minority'!$A$76:$A$78,'[1]High Minority'!$A$76:$A$78)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('[1]High Minority'!$K$76:$K$81,'[1]High Minority'!$I$76:$I$77)</c:f>
              <c:numCache>
                <c:formatCode>General</c:formatCode>
                <c:ptCount val="8"/>
                <c:pt idx="6">
                  <c:v>7.5999999999999998E-2</c:v>
                </c:pt>
                <c:pt idx="7">
                  <c:v>7.5999999999999998E-2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819-495E-8A09-D9B949E2F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61000"/>
        <c:axId val="500272760"/>
      </c:barChart>
      <c:catAx>
        <c:axId val="500261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00272760"/>
        <c:crosses val="autoZero"/>
        <c:auto val="1"/>
        <c:lblAlgn val="ctr"/>
        <c:lblOffset val="100"/>
        <c:noMultiLvlLbl val="0"/>
      </c:catAx>
      <c:valAx>
        <c:axId val="500272760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50026100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'[1]High Minority'!$D$9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 Minority'!$A$139,'[1]High Minority'!$A$139,'[1]High Minority'!$A$139)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'[1]High Minority'!$D$139</c:f>
              <c:numCache>
                <c:formatCode>General</c:formatCode>
                <c:ptCount val="1"/>
                <c:pt idx="0">
                  <c:v>0.26200000000000001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4-42DB-987D-D0032250DF5D}"/>
            </c:ext>
          </c:extLst>
        </c:ser>
        <c:ser>
          <c:idx val="3"/>
          <c:order val="1"/>
          <c:tx>
            <c:strRef>
              <c:f>'[1]High Minority'!$E$9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 Minority'!$A$139,'[1]High Minority'!$A$139,'[1]High Minority'!$A$139)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'[1]High Minority'!$E$139</c:f>
              <c:numCache>
                <c:formatCode>General</c:formatCode>
                <c:ptCount val="1"/>
                <c:pt idx="0">
                  <c:v>5.6000000000000001E-2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44-42DB-987D-D0032250DF5D}"/>
            </c:ext>
          </c:extLst>
        </c:ser>
        <c:ser>
          <c:idx val="0"/>
          <c:order val="2"/>
          <c:tx>
            <c:strRef>
              <c:f>'[1]High Minority'!$F$9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 Minority'!$A$139,'[1]High Minority'!$A$139,'[1]High Minority'!$A$139)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('[1]High Minority'!$F$140,'[1]High Minority'!$F$139)</c:f>
              <c:numCache>
                <c:formatCode>General</c:formatCode>
                <c:ptCount val="2"/>
                <c:pt idx="1">
                  <c:v>8.8999999999999996E-2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44-42DB-987D-D0032250DF5D}"/>
            </c:ext>
          </c:extLst>
        </c:ser>
        <c:ser>
          <c:idx val="1"/>
          <c:order val="3"/>
          <c:tx>
            <c:strRef>
              <c:f>'[1]High Minority'!$G$9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 Minority'!$A$139,'[1]High Minority'!$A$139,'[1]High Minority'!$A$139)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('[1]High Minority'!$G$140,'[1]High Minority'!$G$139)</c:f>
              <c:numCache>
                <c:formatCode>General</c:formatCode>
                <c:ptCount val="2"/>
                <c:pt idx="1">
                  <c:v>0.22900000000000001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44-42DB-987D-D0032250DF5D}"/>
            </c:ext>
          </c:extLst>
        </c:ser>
        <c:ser>
          <c:idx val="4"/>
          <c:order val="4"/>
          <c:tx>
            <c:strRef>
              <c:f>'[1]High Minority'!$H$9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 Minority'!$A$139,'[1]High Minority'!$A$139,'[1]High Minority'!$A$139)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('[1]High Minority'!$H$140:$H$141,'[1]High Minority'!$H$139)</c:f>
              <c:numCache>
                <c:formatCode>General</c:formatCode>
                <c:ptCount val="3"/>
                <c:pt idx="2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44-42DB-987D-D0032250DF5D}"/>
            </c:ext>
          </c:extLst>
        </c:ser>
        <c:ser>
          <c:idx val="5"/>
          <c:order val="5"/>
          <c:tx>
            <c:strRef>
              <c:f>'[1]High Minority'!$I$9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 Minority'!$A$139,'[1]High Minority'!$A$139,'[1]High Minority'!$A$139)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('[1]High Minority'!$I$140:$I$141,'[1]High Minority'!$I$139)</c:f>
              <c:numCache>
                <c:formatCode>General</c:formatCode>
                <c:ptCount val="3"/>
                <c:pt idx="2">
                  <c:v>4.8000000000000001E-2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44-42DB-987D-D0032250D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62568"/>
        <c:axId val="500266096"/>
      </c:barChart>
      <c:catAx>
        <c:axId val="5002625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00266096"/>
        <c:crosses val="autoZero"/>
        <c:auto val="1"/>
        <c:lblAlgn val="ctr"/>
        <c:lblOffset val="100"/>
        <c:noMultiLvlLbl val="0"/>
      </c:catAx>
      <c:valAx>
        <c:axId val="500266096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5002625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'[1]High Minority'!$D$9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 Minority'!$A$10:$A$12,'[1]High Minority'!$A$10:$A$12,'[1]High Minority'!$A$10:$A$12)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'[1]High Minority'!$D$10:$D$11</c:f>
              <c:numCache>
                <c:formatCode>General</c:formatCode>
                <c:ptCount val="2"/>
                <c:pt idx="0">
                  <c:v>0.44400000000000001</c:v>
                </c:pt>
                <c:pt idx="1">
                  <c:v>0.46700000000000003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40-4CAF-8C3D-9C8A8E3D8E15}"/>
            </c:ext>
          </c:extLst>
        </c:ser>
        <c:ser>
          <c:idx val="3"/>
          <c:order val="1"/>
          <c:tx>
            <c:strRef>
              <c:f>'[1]High Minority'!$E$9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 Minority'!$A$10:$A$12,'[1]High Minority'!$A$10:$A$12,'[1]High Minority'!$A$10:$A$12)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'[1]High Minority'!$E$10:$E$11</c:f>
              <c:numCache>
                <c:formatCode>General</c:formatCode>
                <c:ptCount val="2"/>
                <c:pt idx="0">
                  <c:v>7.4999999999999997E-2</c:v>
                </c:pt>
                <c:pt idx="1">
                  <c:v>7.2999999999999995E-2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40-4CAF-8C3D-9C8A8E3D8E15}"/>
            </c:ext>
          </c:extLst>
        </c:ser>
        <c:ser>
          <c:idx val="0"/>
          <c:order val="2"/>
          <c:tx>
            <c:strRef>
              <c:f>'[1]High Minority'!$F$9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 Minority'!$A$10:$A$12,'[1]High Minority'!$A$10:$A$12,'[1]High Minority'!$A$10:$A$12)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('[1]High Minority'!$N$16:$N$18,'[1]High Minority'!$F$10:$F$11)</c:f>
              <c:numCache>
                <c:formatCode>General</c:formatCode>
                <c:ptCount val="5"/>
                <c:pt idx="3">
                  <c:v>0.19700000000000001</c:v>
                </c:pt>
                <c:pt idx="4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40-4CAF-8C3D-9C8A8E3D8E15}"/>
            </c:ext>
          </c:extLst>
        </c:ser>
        <c:ser>
          <c:idx val="1"/>
          <c:order val="3"/>
          <c:tx>
            <c:strRef>
              <c:f>'[1]High Minority'!$G$9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 Minority'!$A$10:$A$12,'[1]High Minority'!$A$10:$A$12,'[1]High Minority'!$A$10:$A$12)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('[1]High Minority'!$N$16:$N$18,'[1]High Minority'!$G$10:$G$11)</c:f>
              <c:numCache>
                <c:formatCode>General</c:formatCode>
                <c:ptCount val="5"/>
                <c:pt idx="3">
                  <c:v>0.32200000000000001</c:v>
                </c:pt>
                <c:pt idx="4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40-4CAF-8C3D-9C8A8E3D8E15}"/>
            </c:ext>
          </c:extLst>
        </c:ser>
        <c:ser>
          <c:idx val="4"/>
          <c:order val="4"/>
          <c:tx>
            <c:strRef>
              <c:f>'[1]High Minority'!$H$9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 Minority'!$A$10:$A$12,'[1]High Minority'!$A$10:$A$12,'[1]High Minority'!$A$10:$A$12)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('[1]High Minority'!$N$16:$N$21,'[1]High Minority'!$H$10:$H$11)</c:f>
              <c:numCache>
                <c:formatCode>General</c:formatCode>
                <c:ptCount val="8"/>
                <c:pt idx="6">
                  <c:v>0.44800000000000001</c:v>
                </c:pt>
                <c:pt idx="7">
                  <c:v>0.47199999999999998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40-4CAF-8C3D-9C8A8E3D8E15}"/>
            </c:ext>
          </c:extLst>
        </c:ser>
        <c:ser>
          <c:idx val="5"/>
          <c:order val="5"/>
          <c:tx>
            <c:strRef>
              <c:f>'[1]High Minority'!$I$9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 Minority'!$A$10:$A$12,'[1]High Minority'!$A$10:$A$12,'[1]High Minority'!$A$10:$A$12)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('[1]High Minority'!$N$16:$N$21,'[1]High Minority'!$I$10:$I$11)</c:f>
              <c:numCache>
                <c:formatCode>General</c:formatCode>
                <c:ptCount val="8"/>
                <c:pt idx="6">
                  <c:v>7.0999999999999994E-2</c:v>
                </c:pt>
                <c:pt idx="7">
                  <c:v>6.8000000000000005E-2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40-4CAF-8C3D-9C8A8E3D8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'[1]Low Minority'!$D$9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 Minority'!$A$43:$A$45,'[1]Low Minority'!$A$43:$A$45,'[1]Low Minority'!$A$43:$A$45)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'[1]Low Minority'!$D$43:$D$44</c:f>
              <c:numCache>
                <c:formatCode>General</c:formatCode>
                <c:ptCount val="2"/>
                <c:pt idx="0">
                  <c:v>0.53100000000000003</c:v>
                </c:pt>
                <c:pt idx="1">
                  <c:v>0.51700000000000002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8D-4942-8266-75BC7994AACC}"/>
            </c:ext>
          </c:extLst>
        </c:ser>
        <c:ser>
          <c:idx val="3"/>
          <c:order val="1"/>
          <c:tx>
            <c:strRef>
              <c:f>'[1]Low Minority'!$E$9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 Minority'!$A$43:$A$45,'[1]Low Minority'!$A$43:$A$45,'[1]Low Minority'!$A$43:$A$45)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'[1]Low Minority'!$E$43:$E$44</c:f>
              <c:numCache>
                <c:formatCode>General</c:formatCode>
                <c:ptCount val="2"/>
                <c:pt idx="0">
                  <c:v>0.13800000000000001</c:v>
                </c:pt>
                <c:pt idx="1">
                  <c:v>0.13900000000000001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8D-4942-8266-75BC7994AACC}"/>
            </c:ext>
          </c:extLst>
        </c:ser>
        <c:ser>
          <c:idx val="0"/>
          <c:order val="2"/>
          <c:tx>
            <c:strRef>
              <c:f>'[1]Low Minority'!$F$9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 Minority'!$A$43:$A$45,'[1]Low Minority'!$A$43:$A$45,'[1]Low Minority'!$A$43:$A$45)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('[1]Low Minority'!$N$16:$N$18,'[1]Low Minority'!$F$43:$F$44)</c:f>
              <c:numCache>
                <c:formatCode>General</c:formatCode>
                <c:ptCount val="5"/>
                <c:pt idx="3">
                  <c:v>0.20100000000000001</c:v>
                </c:pt>
                <c:pt idx="4">
                  <c:v>0.183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8D-4942-8266-75BC7994AACC}"/>
            </c:ext>
          </c:extLst>
        </c:ser>
        <c:ser>
          <c:idx val="1"/>
          <c:order val="3"/>
          <c:tx>
            <c:strRef>
              <c:f>'[1]Low Minority'!$G$9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 Minority'!$A$43:$A$45,'[1]Low Minority'!$A$43:$A$45,'[1]Low Minority'!$A$43:$A$45)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('[1]Low Minority'!$N$16:$N$18,'[1]Low Minority'!$G$43:$G$44)</c:f>
              <c:numCache>
                <c:formatCode>General</c:formatCode>
                <c:ptCount val="5"/>
                <c:pt idx="3">
                  <c:v>0.46700000000000003</c:v>
                </c:pt>
                <c:pt idx="4">
                  <c:v>0.47399999999999998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8D-4942-8266-75BC7994AACC}"/>
            </c:ext>
          </c:extLst>
        </c:ser>
        <c:ser>
          <c:idx val="4"/>
          <c:order val="4"/>
          <c:tx>
            <c:strRef>
              <c:f>'[1]Low Minority'!$H$9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 Minority'!$A$43:$A$45,'[1]Low Minority'!$A$43:$A$45,'[1]Low Minority'!$A$43:$A$45)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('[1]Low Minority'!$N$16:$N$21,'[1]Low Minority'!$H$43:$H$44)</c:f>
              <c:numCache>
                <c:formatCode>General</c:formatCode>
                <c:ptCount val="8"/>
                <c:pt idx="6">
                  <c:v>0.51200000000000001</c:v>
                </c:pt>
                <c:pt idx="7">
                  <c:v>0.48399999999999999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8D-4942-8266-75BC7994AACC}"/>
            </c:ext>
          </c:extLst>
        </c:ser>
        <c:ser>
          <c:idx val="5"/>
          <c:order val="5"/>
          <c:tx>
            <c:strRef>
              <c:f>'[1]Low Minority'!$I$9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 Minority'!$A$43:$A$45,'[1]Low Minority'!$A$43:$A$45,'[1]Low Minority'!$A$43:$A$45)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('[1]Low Minority'!$N$16:$N$21,'[1]Low Minority'!$I$43:$I$44)</c:f>
              <c:numCache>
                <c:formatCode>General</c:formatCode>
                <c:ptCount val="8"/>
                <c:pt idx="6">
                  <c:v>0.156</c:v>
                </c:pt>
                <c:pt idx="7">
                  <c:v>0.17199999999999999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18D-4942-8266-75BC7994A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FA85-4946-A043-2282C5869FFA}"/>
              </c:ext>
            </c:extLst>
          </c:dPt>
          <c:dPt>
            <c:idx val="5"/>
            <c:invertIfNegative val="0"/>
            <c:bubble3D val="0"/>
            <c:spPr>
              <a:solidFill>
                <a:srgbClr val="3B64AD"/>
              </a:solidFill>
            </c:spPr>
            <c:extLst>
              <c:ext xmlns:c16="http://schemas.microsoft.com/office/drawing/2014/chart" uri="{C3380CC4-5D6E-409C-BE32-E72D297353CC}">
                <c16:uniqueId val="{00000001-FA85-4946-A043-2282C5869FFA}"/>
              </c:ext>
            </c:extLst>
          </c:dPt>
          <c:dPt>
            <c:idx val="6"/>
            <c:invertIfNegative val="0"/>
            <c:bubble3D val="0"/>
            <c:spPr>
              <a:solidFill>
                <a:srgbClr val="D26E2A"/>
              </a:solidFill>
            </c:spPr>
            <c:extLst>
              <c:ext xmlns:c16="http://schemas.microsoft.com/office/drawing/2014/chart" uri="{C3380CC4-5D6E-409C-BE32-E72D297353CC}">
                <c16:uniqueId val="{00000002-FA85-4946-A043-2282C5869FFA}"/>
              </c:ext>
            </c:extLst>
          </c:dPt>
          <c:dPt>
            <c:idx val="8"/>
            <c:invertIfNegative val="0"/>
            <c:bubble3D val="0"/>
            <c:spPr>
              <a:solidFill>
                <a:srgbClr val="5089BC"/>
              </a:solidFill>
            </c:spPr>
            <c:extLst>
              <c:ext xmlns:c16="http://schemas.microsoft.com/office/drawing/2014/chart" uri="{C3380CC4-5D6E-409C-BE32-E72D297353CC}">
                <c16:uniqueId val="{00000003-FA85-4946-A043-2282C5869FFA}"/>
              </c:ext>
            </c:extLst>
          </c:dPt>
          <c:dPt>
            <c:idx val="9"/>
            <c:invertIfNegative val="0"/>
            <c:bubble3D val="0"/>
            <c:spPr>
              <a:solidFill>
                <a:srgbClr val="62993E"/>
              </a:solidFill>
            </c:spPr>
            <c:extLst>
              <c:ext xmlns:c16="http://schemas.microsoft.com/office/drawing/2014/chart" uri="{C3380CC4-5D6E-409C-BE32-E72D297353CC}">
                <c16:uniqueId val="{00000004-FA85-4946-A043-2282C5869FFA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('[1]Low Minority'!$C$107,'[1]Low Minority'!$O$109,'[1]Low Minority'!$D$107,'[1]Low Minority'!$E$107,'[1]Low Minority'!$O$110,'[1]Low Minority'!$F$107,'[1]Low Minority'!$G$107,'[1]Low Minority'!$O$111,'[1]Low Minority'!$H$107,'[1]Low Minority'!$I$107)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('[1]Low Minority'!$C$108,'[1]Low Minority'!$O$109,'[1]Low Minority'!$D$108,'[1]Low Minority'!$E$108,'[1]Low Minority'!$O$109,'[1]Low Minority'!$F$108,'[1]Low Minority'!$G$108,'[1]Low Minority'!$O$110,'[1]Low Minority'!$H$108,'[1]Low Minority'!$I$108)</c:f>
              <c:numCache>
                <c:formatCode>General</c:formatCode>
                <c:ptCount val="10"/>
                <c:pt idx="0">
                  <c:v>0.85499999999999998</c:v>
                </c:pt>
                <c:pt idx="2">
                  <c:v>0.84</c:v>
                </c:pt>
                <c:pt idx="3">
                  <c:v>0.91400000000000003</c:v>
                </c:pt>
                <c:pt idx="5">
                  <c:v>0.72099999999999997</c:v>
                </c:pt>
                <c:pt idx="6">
                  <c:v>0.91300000000000003</c:v>
                </c:pt>
                <c:pt idx="8">
                  <c:v>0.83699999999999997</c:v>
                </c:pt>
                <c:pt idx="9">
                  <c:v>0.91700000000000004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B18-491C-8583-3D0D304AF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00267664"/>
        <c:axId val="500265312"/>
      </c:barChart>
      <c:catAx>
        <c:axId val="50026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00265312"/>
        <c:crosses val="autoZero"/>
        <c:auto val="1"/>
        <c:lblAlgn val="ctr"/>
        <c:lblOffset val="100"/>
        <c:noMultiLvlLbl val="0"/>
      </c:catAx>
      <c:valAx>
        <c:axId val="500265312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500267664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'[1]Low Minority'!$D$9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 Minority'!$A$76:$A$78,'[1]Low Minority'!$A$76:$A$78,'[1]Low Minority'!$A$76:$A$78)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'[1]Low Minority'!$D$76:$D$77</c:f>
              <c:numCache>
                <c:formatCode>General</c:formatCode>
                <c:ptCount val="2"/>
                <c:pt idx="0">
                  <c:v>0.58399999999999996</c:v>
                </c:pt>
                <c:pt idx="1">
                  <c:v>0.56100000000000005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B5-4EF8-BFE5-E58ADD1CC54E}"/>
            </c:ext>
          </c:extLst>
        </c:ser>
        <c:ser>
          <c:idx val="3"/>
          <c:order val="1"/>
          <c:tx>
            <c:strRef>
              <c:f>'[1]Low Minority'!$E$9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 Minority'!$A$76:$A$78,'[1]Low Minority'!$A$76:$A$78,'[1]Low Minority'!$A$76:$A$78)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'[1]Low Minority'!$E$76:$E$77</c:f>
              <c:numCache>
                <c:formatCode>General</c:formatCode>
                <c:ptCount val="2"/>
                <c:pt idx="0">
                  <c:v>0.14799999999999999</c:v>
                </c:pt>
                <c:pt idx="1">
                  <c:v>0.14399999999999999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B5-4EF8-BFE5-E58ADD1CC54E}"/>
            </c:ext>
          </c:extLst>
        </c:ser>
        <c:ser>
          <c:idx val="0"/>
          <c:order val="2"/>
          <c:tx>
            <c:strRef>
              <c:f>'[1]Low Minority'!$F$9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 Minority'!$A$76:$A$78,'[1]Low Minority'!$A$76:$A$78,'[1]Low Minority'!$A$76:$A$78)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('[1]Low Minority'!$K$76:$K$78,'[1]Low Minority'!$F$76:$F$77)</c:f>
              <c:numCache>
                <c:formatCode>General</c:formatCode>
                <c:ptCount val="5"/>
                <c:pt idx="3">
                  <c:v>0.23200000000000001</c:v>
                </c:pt>
                <c:pt idx="4">
                  <c:v>0.222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B5-4EF8-BFE5-E58ADD1CC54E}"/>
            </c:ext>
          </c:extLst>
        </c:ser>
        <c:ser>
          <c:idx val="1"/>
          <c:order val="3"/>
          <c:tx>
            <c:strRef>
              <c:f>'[1]Low Minority'!$G$9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 Minority'!$A$76:$A$78,'[1]Low Minority'!$A$76:$A$78,'[1]Low Minority'!$A$76:$A$78)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('[1]Low Minority'!$K$76:$K$78,'[1]Low Minority'!$G$76:$G$77)</c:f>
              <c:numCache>
                <c:formatCode>General</c:formatCode>
                <c:ptCount val="5"/>
                <c:pt idx="3">
                  <c:v>0.5</c:v>
                </c:pt>
                <c:pt idx="4">
                  <c:v>0.48299999999999998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B5-4EF8-BFE5-E58ADD1CC54E}"/>
            </c:ext>
          </c:extLst>
        </c:ser>
        <c:ser>
          <c:idx val="4"/>
          <c:order val="4"/>
          <c:tx>
            <c:strRef>
              <c:f>'[1]Low Minority'!$H$9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 Minority'!$A$76:$A$78,'[1]Low Minority'!$A$76:$A$78,'[1]Low Minority'!$A$76:$A$78)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('[1]Low Minority'!$K$76:$K$81,'[1]Low Minority'!$H$76:$H$77)</c:f>
              <c:numCache>
                <c:formatCode>General</c:formatCode>
                <c:ptCount val="8"/>
                <c:pt idx="6">
                  <c:v>0.56299999999999994</c:v>
                </c:pt>
                <c:pt idx="7">
                  <c:v>0.53900000000000003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B5-4EF8-BFE5-E58ADD1CC54E}"/>
            </c:ext>
          </c:extLst>
        </c:ser>
        <c:ser>
          <c:idx val="5"/>
          <c:order val="5"/>
          <c:tx>
            <c:strRef>
              <c:f>'[1]Low Minority'!$I$9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 Minority'!$A$76:$A$78,'[1]Low Minority'!$A$76:$A$78,'[1]Low Minority'!$A$76:$A$78)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('[1]Low Minority'!$K$76:$K$81,'[1]Low Minority'!$I$76:$I$77)</c:f>
              <c:numCache>
                <c:formatCode>General</c:formatCode>
                <c:ptCount val="8"/>
                <c:pt idx="6">
                  <c:v>0.16900000000000001</c:v>
                </c:pt>
                <c:pt idx="7">
                  <c:v>0.16600000000000001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CB5-4EF8-BFE5-E58ADD1CC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61000"/>
        <c:axId val="500272760"/>
      </c:barChart>
      <c:catAx>
        <c:axId val="500261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00272760"/>
        <c:crosses val="autoZero"/>
        <c:auto val="1"/>
        <c:lblAlgn val="ctr"/>
        <c:lblOffset val="100"/>
        <c:noMultiLvlLbl val="0"/>
      </c:catAx>
      <c:valAx>
        <c:axId val="500272760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50026100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'[1]Low Minority'!$D$9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 Minority'!$A$139,'[1]Low Minority'!$A$139,'[1]Low Minority'!$A$139)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'[1]Low Minority'!$D$139</c:f>
              <c:numCache>
                <c:formatCode>General</c:formatCode>
                <c:ptCount val="1"/>
                <c:pt idx="0">
                  <c:v>0.372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64-446B-9956-4DFCBD01A008}"/>
            </c:ext>
          </c:extLst>
        </c:ser>
        <c:ser>
          <c:idx val="3"/>
          <c:order val="1"/>
          <c:tx>
            <c:strRef>
              <c:f>'[1]Low Minority'!$E$9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 Minority'!$A$139,'[1]Low Minority'!$A$139,'[1]Low Minority'!$A$139)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'[1]Low Minority'!$E$139</c:f>
              <c:numCache>
                <c:formatCode>General</c:formatCode>
                <c:ptCount val="1"/>
                <c:pt idx="0">
                  <c:v>0.123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64-446B-9956-4DFCBD01A008}"/>
            </c:ext>
          </c:extLst>
        </c:ser>
        <c:ser>
          <c:idx val="0"/>
          <c:order val="2"/>
          <c:tx>
            <c:strRef>
              <c:f>'[1]Low Minority'!$F$9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 Minority'!$A$139,'[1]Low Minority'!$A$139,'[1]Low Minority'!$A$139)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('[1]Low Minority'!$F$140,'[1]Low Minority'!$F$139)</c:f>
              <c:numCache>
                <c:formatCode>General</c:formatCode>
                <c:ptCount val="2"/>
                <c:pt idx="1">
                  <c:v>9.2999999999999999E-2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64-446B-9956-4DFCBD01A008}"/>
            </c:ext>
          </c:extLst>
        </c:ser>
        <c:ser>
          <c:idx val="1"/>
          <c:order val="3"/>
          <c:tx>
            <c:strRef>
              <c:f>'[1]Low Minority'!$G$9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 Minority'!$A$139,'[1]Low Minority'!$A$139,'[1]Low Minority'!$A$139)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('[1]Low Minority'!$G$140,'[1]Low Minority'!$G$139)</c:f>
              <c:numCache>
                <c:formatCode>General</c:formatCode>
                <c:ptCount val="2"/>
                <c:pt idx="1">
                  <c:v>0.40200000000000002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64-446B-9956-4DFCBD01A008}"/>
            </c:ext>
          </c:extLst>
        </c:ser>
        <c:ser>
          <c:idx val="4"/>
          <c:order val="4"/>
          <c:tx>
            <c:strRef>
              <c:f>'[1]Low Minority'!$H$9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 Minority'!$A$139,'[1]Low Minority'!$A$139,'[1]Low Minority'!$A$139)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('[1]Low Minority'!$H$140:$H$141,'[1]Low Minority'!$H$139)</c:f>
              <c:numCache>
                <c:formatCode>General</c:formatCode>
                <c:ptCount val="3"/>
                <c:pt idx="2">
                  <c:v>0.36099999999999999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64-446B-9956-4DFCBD01A008}"/>
            </c:ext>
          </c:extLst>
        </c:ser>
        <c:ser>
          <c:idx val="5"/>
          <c:order val="5"/>
          <c:tx>
            <c:strRef>
              <c:f>'[1]Low Minority'!$I$9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 Minority'!$A$139,'[1]Low Minority'!$A$139,'[1]Low Minority'!$A$139)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('[1]Low Minority'!$I$140:$I$141,'[1]Low Minority'!$I$139)</c:f>
              <c:numCache>
                <c:formatCode>General</c:formatCode>
                <c:ptCount val="3"/>
                <c:pt idx="2">
                  <c:v>0.13400000000000001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64-446B-9956-4DFCBD01A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62568"/>
        <c:axId val="500266096"/>
      </c:barChart>
      <c:catAx>
        <c:axId val="5002625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00266096"/>
        <c:crosses val="autoZero"/>
        <c:auto val="1"/>
        <c:lblAlgn val="ctr"/>
        <c:lblOffset val="100"/>
        <c:noMultiLvlLbl val="0"/>
      </c:catAx>
      <c:valAx>
        <c:axId val="500266096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5002625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'[1]High Poverty'!$D$9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>
              <a:solidFill>
                <a:srgbClr val="929292"/>
              </a:solidFill>
            </c:spPr>
            <c:extLst>
              <c:ext xmlns:c16="http://schemas.microsoft.com/office/drawing/2014/chart" uri="{C3380CC4-5D6E-409C-BE32-E72D297353CC}">
                <c16:uniqueId val="{00000000-1130-48EA-9EA5-49D85B677E1A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 Poverty'!$A$76:$A$78,'[1]High Poverty'!$A$76:$A$78,'[1]High Poverty'!$A$76:$A$78)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'[1]High Poverty'!$D$76:$D$77</c:f>
              <c:numCache>
                <c:formatCode>General</c:formatCode>
                <c:ptCount val="2"/>
                <c:pt idx="0">
                  <c:v>0.55100000000000005</c:v>
                </c:pt>
                <c:pt idx="1">
                  <c:v>0.48899999999999999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A-4E25-9595-3867954AA06E}"/>
            </c:ext>
          </c:extLst>
        </c:ser>
        <c:ser>
          <c:idx val="3"/>
          <c:order val="1"/>
          <c:tx>
            <c:strRef>
              <c:f>'[1]High Poverty'!$E$9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E2AA00"/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 Poverty'!$A$76:$A$78,'[1]High Poverty'!$A$76:$A$78,'[1]High Poverty'!$A$76:$A$78)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'[1]High Poverty'!$E$76:$E$77</c:f>
              <c:numCache>
                <c:formatCode>General</c:formatCode>
                <c:ptCount val="2"/>
                <c:pt idx="0">
                  <c:v>6.7000000000000004E-2</c:v>
                </c:pt>
                <c:pt idx="1">
                  <c:v>6.8000000000000005E-2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A-4E25-9595-3867954AA06E}"/>
            </c:ext>
          </c:extLst>
        </c:ser>
        <c:ser>
          <c:idx val="0"/>
          <c:order val="2"/>
          <c:tx>
            <c:strRef>
              <c:f>'[1]High Poverty'!$F$9</c:f>
              <c:strCache>
                <c:ptCount val="1"/>
                <c:pt idx="0">
                  <c:v>Two-year</c:v>
                </c:pt>
              </c:strCache>
            </c:strRef>
          </c:tx>
          <c:spPr>
            <a:solidFill>
              <a:srgbClr val="3B64AD"/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 Poverty'!$A$76:$A$78,'[1]High Poverty'!$A$76:$A$78,'[1]High Poverty'!$A$76:$A$78)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('[1]High Poverty'!$K$76:$K$78,'[1]High Poverty'!$F$76:$F$77)</c:f>
              <c:numCache>
                <c:formatCode>General</c:formatCode>
                <c:ptCount val="5"/>
                <c:pt idx="3">
                  <c:v>0.32100000000000001</c:v>
                </c:pt>
                <c:pt idx="4">
                  <c:v>0.27800000000000002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0A-4E25-9595-3867954AA06E}"/>
            </c:ext>
          </c:extLst>
        </c:ser>
        <c:ser>
          <c:idx val="1"/>
          <c:order val="3"/>
          <c:tx>
            <c:strRef>
              <c:f>'[1]High Poverty'!$G$9</c:f>
              <c:strCache>
                <c:ptCount val="1"/>
                <c:pt idx="0">
                  <c:v>Four-year</c:v>
                </c:pt>
              </c:strCache>
            </c:strRef>
          </c:tx>
          <c:spPr>
            <a:solidFill>
              <a:srgbClr val="D26E2A"/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 Poverty'!$A$76:$A$78,'[1]High Poverty'!$A$76:$A$78,'[1]High Poverty'!$A$76:$A$78)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('[1]High Poverty'!$K$76:$K$78,'[1]High Poverty'!$G$76:$G$77)</c:f>
              <c:numCache>
                <c:formatCode>General</c:formatCode>
                <c:ptCount val="5"/>
                <c:pt idx="3">
                  <c:v>0.29699999999999999</c:v>
                </c:pt>
                <c:pt idx="4">
                  <c:v>0.27900000000000003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0A-4E25-9595-3867954AA06E}"/>
            </c:ext>
          </c:extLst>
        </c:ser>
        <c:ser>
          <c:idx val="4"/>
          <c:order val="4"/>
          <c:tx>
            <c:strRef>
              <c:f>'[1]High Poverty'!$H$9</c:f>
              <c:strCache>
                <c:ptCount val="1"/>
                <c:pt idx="0">
                  <c:v>In-state</c:v>
                </c:pt>
              </c:strCache>
            </c:strRef>
          </c:tx>
          <c:spPr>
            <a:solidFill>
              <a:srgbClr val="5089BC"/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 Poverty'!$A$76:$A$78,'[1]High Poverty'!$A$76:$A$78,'[1]High Poverty'!$A$76:$A$78)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('[1]High Poverty'!$K$76:$K$81,'[1]High Poverty'!$H$76:$H$77)</c:f>
              <c:numCache>
                <c:formatCode>General</c:formatCode>
                <c:ptCount val="8"/>
                <c:pt idx="6">
                  <c:v>0.56899999999999995</c:v>
                </c:pt>
                <c:pt idx="7">
                  <c:v>0.50800000000000001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0A-4E25-9595-3867954AA06E}"/>
            </c:ext>
          </c:extLst>
        </c:ser>
        <c:ser>
          <c:idx val="5"/>
          <c:order val="5"/>
          <c:tx>
            <c:strRef>
              <c:f>'[1]High Poverty'!$I$9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 Poverty'!$A$76:$A$78,'[1]High Poverty'!$A$76:$A$78,'[1]High Poverty'!$A$76:$A$78)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('[1]High Poverty'!$K$76:$K$81,'[1]High Poverty'!$I$76:$I$77)</c:f>
              <c:numCache>
                <c:formatCode>General</c:formatCode>
                <c:ptCount val="8"/>
                <c:pt idx="6">
                  <c:v>4.9000000000000002E-2</c:v>
                </c:pt>
                <c:pt idx="7">
                  <c:v>4.9000000000000002E-2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70A-4E25-9595-3867954AA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61000"/>
        <c:axId val="500272760"/>
      </c:barChart>
      <c:catAx>
        <c:axId val="500261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00272760"/>
        <c:crosses val="autoZero"/>
        <c:auto val="1"/>
        <c:lblAlgn val="ctr"/>
        <c:lblOffset val="100"/>
        <c:noMultiLvlLbl val="0"/>
      </c:catAx>
      <c:valAx>
        <c:axId val="500272760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50026100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'[1]Low Minority'!$D$9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 Minority'!$A$10:$A$12,'[1]Low Minority'!$A$10:$A$12,'[1]Low Minority'!$A$10:$A$12)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'[1]Low Minority'!$D$10:$D$11</c:f>
              <c:numCache>
                <c:formatCode>General</c:formatCode>
                <c:ptCount val="2"/>
                <c:pt idx="0">
                  <c:v>0.495</c:v>
                </c:pt>
                <c:pt idx="1">
                  <c:v>0.502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B3-4BBB-8B26-6D6031F0E836}"/>
            </c:ext>
          </c:extLst>
        </c:ser>
        <c:ser>
          <c:idx val="3"/>
          <c:order val="1"/>
          <c:tx>
            <c:strRef>
              <c:f>'[1]Low Minority'!$E$9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 Minority'!$A$10:$A$12,'[1]Low Minority'!$A$10:$A$12,'[1]Low Minority'!$A$10:$A$12)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'[1]Low Minority'!$E$10:$E$11</c:f>
              <c:numCache>
                <c:formatCode>General</c:formatCode>
                <c:ptCount val="2"/>
                <c:pt idx="0">
                  <c:v>0.13400000000000001</c:v>
                </c:pt>
                <c:pt idx="1">
                  <c:v>0.13700000000000001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B3-4BBB-8B26-6D6031F0E836}"/>
            </c:ext>
          </c:extLst>
        </c:ser>
        <c:ser>
          <c:idx val="0"/>
          <c:order val="2"/>
          <c:tx>
            <c:strRef>
              <c:f>'[1]Low Minority'!$F$9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 Minority'!$A$10:$A$12,'[1]Low Minority'!$A$10:$A$12,'[1]Low Minority'!$A$10:$A$12)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('[1]Low Minority'!$N$16:$N$18,'[1]Low Minority'!$F$10:$F$11)</c:f>
              <c:numCache>
                <c:formatCode>General</c:formatCode>
                <c:ptCount val="5"/>
                <c:pt idx="3">
                  <c:v>0.17</c:v>
                </c:pt>
                <c:pt idx="4">
                  <c:v>0.16700000000000001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B3-4BBB-8B26-6D6031F0E836}"/>
            </c:ext>
          </c:extLst>
        </c:ser>
        <c:ser>
          <c:idx val="1"/>
          <c:order val="3"/>
          <c:tx>
            <c:strRef>
              <c:f>'[1]Low Minority'!$G$9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 Minority'!$A$10:$A$12,'[1]Low Minority'!$A$10:$A$12,'[1]Low Minority'!$A$10:$A$12)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('[1]Low Minority'!$N$16:$N$18,'[1]Low Minority'!$G$10:$G$11)</c:f>
              <c:numCache>
                <c:formatCode>General</c:formatCode>
                <c:ptCount val="5"/>
                <c:pt idx="3">
                  <c:v>0.46</c:v>
                </c:pt>
                <c:pt idx="4">
                  <c:v>0.47199999999999998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B3-4BBB-8B26-6D6031F0E836}"/>
            </c:ext>
          </c:extLst>
        </c:ser>
        <c:ser>
          <c:idx val="4"/>
          <c:order val="4"/>
          <c:tx>
            <c:strRef>
              <c:f>'[1]Low Minority'!$H$9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 Minority'!$A$10:$A$12,'[1]Low Minority'!$A$10:$A$12,'[1]Low Minority'!$A$10:$A$12)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('[1]Low Minority'!$N$16:$N$21,'[1]Low Minority'!$H$10:$H$11)</c:f>
              <c:numCache>
                <c:formatCode>General</c:formatCode>
                <c:ptCount val="8"/>
                <c:pt idx="6">
                  <c:v>0.46400000000000002</c:v>
                </c:pt>
                <c:pt idx="7">
                  <c:v>0.46700000000000003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B3-4BBB-8B26-6D6031F0E836}"/>
            </c:ext>
          </c:extLst>
        </c:ser>
        <c:ser>
          <c:idx val="5"/>
          <c:order val="5"/>
          <c:tx>
            <c:strRef>
              <c:f>'[1]Low Minority'!$I$9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 Minority'!$A$10:$A$12,'[1]Low Minority'!$A$10:$A$12,'[1]Low Minority'!$A$10:$A$12)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('[1]Low Minority'!$N$16:$N$21,'[1]Low Minority'!$I$10:$I$11)</c:f>
              <c:numCache>
                <c:formatCode>General</c:formatCode>
                <c:ptCount val="8"/>
                <c:pt idx="6">
                  <c:v>0.16600000000000001</c:v>
                </c:pt>
                <c:pt idx="7">
                  <c:v>0.17199999999999999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FB3-4BBB-8B26-6D6031F0E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[1]Urban!$D$9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([1]Urban!$A$43:$A$45,[1]Urban!$A$43:$A$45,[1]Urban!$A$43:$A$45)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[1]Urban!$D$43:$D$44</c:f>
              <c:numCache>
                <c:formatCode>General</c:formatCode>
                <c:ptCount val="2"/>
                <c:pt idx="0">
                  <c:v>0.51656671499999995</c:v>
                </c:pt>
                <c:pt idx="1">
                  <c:v>0.50348216700000004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F7-4847-B526-6FA0F4C3AC51}"/>
            </c:ext>
          </c:extLst>
        </c:ser>
        <c:ser>
          <c:idx val="3"/>
          <c:order val="1"/>
          <c:tx>
            <c:strRef>
              <c:f>[1]Urban!$E$9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([1]Urban!$A$43:$A$45,[1]Urban!$A$43:$A$45,[1]Urban!$A$43:$A$45)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[1]Urban!$E$43:$E$44</c:f>
              <c:numCache>
                <c:formatCode>General</c:formatCode>
                <c:ptCount val="2"/>
                <c:pt idx="0">
                  <c:v>9.5705164999999995E-2</c:v>
                </c:pt>
                <c:pt idx="1">
                  <c:v>9.8231996000000002E-2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F7-4847-B526-6FA0F4C3AC51}"/>
            </c:ext>
          </c:extLst>
        </c:ser>
        <c:ser>
          <c:idx val="0"/>
          <c:order val="2"/>
          <c:tx>
            <c:strRef>
              <c:f>[1]Urban!$F$9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([1]Urban!$A$43:$A$45,[1]Urban!$A$43:$A$45,[1]Urban!$A$43:$A$45)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([1]Urban!$N$16:$N$18,[1]Urban!$F$43:$F$44)</c:f>
              <c:numCache>
                <c:formatCode>General</c:formatCode>
                <c:ptCount val="5"/>
                <c:pt idx="3">
                  <c:v>0.223936784</c:v>
                </c:pt>
                <c:pt idx="4">
                  <c:v>0.20218839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F7-4847-B526-6FA0F4C3AC51}"/>
            </c:ext>
          </c:extLst>
        </c:ser>
        <c:ser>
          <c:idx val="1"/>
          <c:order val="3"/>
          <c:tx>
            <c:strRef>
              <c:f>[1]Urban!$G$9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([1]Urban!$A$43:$A$45,[1]Urban!$A$43:$A$45,[1]Urban!$A$43:$A$45)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([1]Urban!$N$16:$N$18,[1]Urban!$G$43:$G$44)</c:f>
              <c:numCache>
                <c:formatCode>General</c:formatCode>
                <c:ptCount val="5"/>
                <c:pt idx="3">
                  <c:v>0.38830603800000002</c:v>
                </c:pt>
                <c:pt idx="4">
                  <c:v>0.39950998900000001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F7-4847-B526-6FA0F4C3AC51}"/>
            </c:ext>
          </c:extLst>
        </c:ser>
        <c:ser>
          <c:idx val="4"/>
          <c:order val="4"/>
          <c:tx>
            <c:strRef>
              <c:f>[1]Urban!$H$9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([1]Urban!$A$43:$A$45,[1]Urban!$A$43:$A$45,[1]Urban!$A$43:$A$45)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([1]Urban!$N$16:$N$21,[1]Urban!$H$43:$H$44)</c:f>
              <c:numCache>
                <c:formatCode>General</c:formatCode>
                <c:ptCount val="8"/>
                <c:pt idx="6">
                  <c:v>0.51246963099999998</c:v>
                </c:pt>
                <c:pt idx="7">
                  <c:v>0.48900806899999999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F7-4847-B526-6FA0F4C3AC51}"/>
            </c:ext>
          </c:extLst>
        </c:ser>
        <c:ser>
          <c:idx val="5"/>
          <c:order val="5"/>
          <c:tx>
            <c:strRef>
              <c:f>[1]Urban!$I$9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([1]Urban!$A$43:$A$45,[1]Urban!$A$43:$A$45,[1]Urban!$A$43:$A$45)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([1]Urban!$N$16:$N$21,[1]Urban!$I$43:$I$44)</c:f>
              <c:numCache>
                <c:formatCode>General</c:formatCode>
                <c:ptCount val="8"/>
                <c:pt idx="6">
                  <c:v>9.9802248999999996E-2</c:v>
                </c:pt>
                <c:pt idx="7">
                  <c:v>0.11270609299999999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EF7-4847-B526-6FA0F4C3A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7BBA-4B7B-9B31-A5390BA12AF9}"/>
              </c:ext>
            </c:extLst>
          </c:dPt>
          <c:dPt>
            <c:idx val="5"/>
            <c:invertIfNegative val="0"/>
            <c:bubble3D val="0"/>
            <c:spPr>
              <a:solidFill>
                <a:srgbClr val="3B64AD"/>
              </a:solidFill>
            </c:spPr>
            <c:extLst>
              <c:ext xmlns:c16="http://schemas.microsoft.com/office/drawing/2014/chart" uri="{C3380CC4-5D6E-409C-BE32-E72D297353CC}">
                <c16:uniqueId val="{00000001-7BBA-4B7B-9B31-A5390BA12AF9}"/>
              </c:ext>
            </c:extLst>
          </c:dPt>
          <c:dPt>
            <c:idx val="6"/>
            <c:invertIfNegative val="0"/>
            <c:bubble3D val="0"/>
            <c:spPr>
              <a:solidFill>
                <a:srgbClr val="D26E2A"/>
              </a:solidFill>
            </c:spPr>
            <c:extLst>
              <c:ext xmlns:c16="http://schemas.microsoft.com/office/drawing/2014/chart" uri="{C3380CC4-5D6E-409C-BE32-E72D297353CC}">
                <c16:uniqueId val="{00000002-7BBA-4B7B-9B31-A5390BA12AF9}"/>
              </c:ext>
            </c:extLst>
          </c:dPt>
          <c:dPt>
            <c:idx val="8"/>
            <c:invertIfNegative val="0"/>
            <c:bubble3D val="0"/>
            <c:spPr>
              <a:solidFill>
                <a:srgbClr val="5089BC"/>
              </a:solidFill>
            </c:spPr>
            <c:extLst>
              <c:ext xmlns:c16="http://schemas.microsoft.com/office/drawing/2014/chart" uri="{C3380CC4-5D6E-409C-BE32-E72D297353CC}">
                <c16:uniqueId val="{00000003-7BBA-4B7B-9B31-A5390BA12AF9}"/>
              </c:ext>
            </c:extLst>
          </c:dPt>
          <c:dPt>
            <c:idx val="9"/>
            <c:invertIfNegative val="0"/>
            <c:bubble3D val="0"/>
            <c:spPr>
              <a:solidFill>
                <a:srgbClr val="62993E"/>
              </a:solidFill>
            </c:spPr>
            <c:extLst>
              <c:ext xmlns:c16="http://schemas.microsoft.com/office/drawing/2014/chart" uri="{C3380CC4-5D6E-409C-BE32-E72D297353CC}">
                <c16:uniqueId val="{00000004-7BBA-4B7B-9B31-A5390BA12AF9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([1]Urban!$C$107,[1]Urban!$O$109,[1]Urban!$D$107,[1]Urban!$E$107,[1]Urban!$O$110,[1]Urban!$F$107,[1]Urban!$G$107,[1]Urban!$O$111,[1]Urban!$H$107,[1]Urban!$I$107)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([1]Urban!$C$108,[1]Urban!$O$109,[1]Urban!$D$108,[1]Urban!$E$108,[1]Urban!$O$109,[1]Urban!$F$108,[1]Urban!$G$108,[1]Urban!$O$110,[1]Urban!$H$108,[1]Urban!$I$108)</c:f>
              <c:numCache>
                <c:formatCode>General</c:formatCode>
                <c:ptCount val="10"/>
                <c:pt idx="0">
                  <c:v>0.80824771100000004</c:v>
                </c:pt>
                <c:pt idx="2">
                  <c:v>0.79886873199999997</c:v>
                </c:pt>
                <c:pt idx="3">
                  <c:v>0.85887055999999995</c:v>
                </c:pt>
                <c:pt idx="5">
                  <c:v>0.68819428900000001</c:v>
                </c:pt>
                <c:pt idx="6">
                  <c:v>0.877530743</c:v>
                </c:pt>
                <c:pt idx="8">
                  <c:v>0.79435010100000003</c:v>
                </c:pt>
                <c:pt idx="9">
                  <c:v>0.87960985999999997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93B-48F4-9A37-7E3B5EBCB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00267664"/>
        <c:axId val="500265312"/>
      </c:barChart>
      <c:catAx>
        <c:axId val="50026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00265312"/>
        <c:crosses val="autoZero"/>
        <c:auto val="1"/>
        <c:lblAlgn val="ctr"/>
        <c:lblOffset val="100"/>
        <c:noMultiLvlLbl val="0"/>
      </c:catAx>
      <c:valAx>
        <c:axId val="500265312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500267664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[1]Urban!$D$9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([1]Urban!$A$76:$A$78,[1]Urban!$A$76:$A$78,[1]Urban!$A$76:$A$78)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[1]Urban!$D$76:$D$77</c:f>
              <c:numCache>
                <c:formatCode>General</c:formatCode>
                <c:ptCount val="2"/>
                <c:pt idx="0">
                  <c:v>0.58586756200000001</c:v>
                </c:pt>
                <c:pt idx="1">
                  <c:v>0.55036200599999996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44-4DF7-9A13-E715B56AA9ED}"/>
            </c:ext>
          </c:extLst>
        </c:ser>
        <c:ser>
          <c:idx val="3"/>
          <c:order val="1"/>
          <c:tx>
            <c:strRef>
              <c:f>[1]Urban!$E$9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([1]Urban!$A$76:$A$78,[1]Urban!$A$76:$A$78,[1]Urban!$A$76:$A$78)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[1]Urban!$E$76:$E$77</c:f>
              <c:numCache>
                <c:formatCode>General</c:formatCode>
                <c:ptCount val="2"/>
                <c:pt idx="0">
                  <c:v>0.10139382600000001</c:v>
                </c:pt>
                <c:pt idx="1">
                  <c:v>0.10188146200000001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44-4DF7-9A13-E715B56AA9ED}"/>
            </c:ext>
          </c:extLst>
        </c:ser>
        <c:ser>
          <c:idx val="0"/>
          <c:order val="2"/>
          <c:tx>
            <c:strRef>
              <c:f>[1]Urban!$F$9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([1]Urban!$A$76:$A$78,[1]Urban!$A$76:$A$78,[1]Urban!$A$76:$A$78)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([1]Urban!$K$76:$K$78,[1]Urban!$F$76:$F$77)</c:f>
              <c:numCache>
                <c:formatCode>General</c:formatCode>
                <c:ptCount val="5"/>
                <c:pt idx="3">
                  <c:v>0.27616344100000001</c:v>
                </c:pt>
                <c:pt idx="4">
                  <c:v>0.24905039000000001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44-4DF7-9A13-E715B56AA9ED}"/>
            </c:ext>
          </c:extLst>
        </c:ser>
        <c:ser>
          <c:idx val="1"/>
          <c:order val="3"/>
          <c:tx>
            <c:strRef>
              <c:f>[1]Urban!$G$9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([1]Urban!$A$76:$A$78,[1]Urban!$A$76:$A$78,[1]Urban!$A$76:$A$78)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([1]Urban!$K$76:$K$78,[1]Urban!$G$76:$G$77)</c:f>
              <c:numCache>
                <c:formatCode>General</c:formatCode>
                <c:ptCount val="5"/>
                <c:pt idx="3">
                  <c:v>0.411063389</c:v>
                </c:pt>
                <c:pt idx="4">
                  <c:v>0.40313011999999998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44-4DF7-9A13-E715B56AA9ED}"/>
            </c:ext>
          </c:extLst>
        </c:ser>
        <c:ser>
          <c:idx val="4"/>
          <c:order val="4"/>
          <c:tx>
            <c:strRef>
              <c:f>[1]Urban!$H$9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([1]Urban!$A$76:$A$78,[1]Urban!$A$76:$A$78,[1]Urban!$A$76:$A$78)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([1]Urban!$K$76:$K$81,[1]Urban!$H$76:$H$77)</c:f>
              <c:numCache>
                <c:formatCode>General</c:formatCode>
                <c:ptCount val="8"/>
                <c:pt idx="6">
                  <c:v>0.57740258</c:v>
                </c:pt>
                <c:pt idx="7">
                  <c:v>0.54396454999999999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44-4DF7-9A13-E715B56AA9ED}"/>
            </c:ext>
          </c:extLst>
        </c:ser>
        <c:ser>
          <c:idx val="5"/>
          <c:order val="5"/>
          <c:tx>
            <c:strRef>
              <c:f>[1]Urban!$I$9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([1]Urban!$A$76:$A$78,[1]Urban!$A$76:$A$78,[1]Urban!$A$76:$A$78)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([1]Urban!$K$76:$K$81,[1]Urban!$I$76:$I$77)</c:f>
              <c:numCache>
                <c:formatCode>General</c:formatCode>
                <c:ptCount val="8"/>
                <c:pt idx="6">
                  <c:v>0.109858807</c:v>
                </c:pt>
                <c:pt idx="7">
                  <c:v>0.108278918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D44-4DF7-9A13-E715B56AA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61000"/>
        <c:axId val="500272760"/>
      </c:barChart>
      <c:catAx>
        <c:axId val="500261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00272760"/>
        <c:crosses val="autoZero"/>
        <c:auto val="1"/>
        <c:lblAlgn val="ctr"/>
        <c:lblOffset val="100"/>
        <c:noMultiLvlLbl val="0"/>
      </c:catAx>
      <c:valAx>
        <c:axId val="500272760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50026100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[1]Urban!$D$9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([1]Urban!$A$139,[1]Urban!$A$139,[1]Urban!$A$139)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[1]Urban!$D$139</c:f>
              <c:numCache>
                <c:formatCode>General</c:formatCode>
                <c:ptCount val="1"/>
                <c:pt idx="0">
                  <c:v>0.30143090500000003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66-4E1D-BA87-5AE10C654589}"/>
            </c:ext>
          </c:extLst>
        </c:ser>
        <c:ser>
          <c:idx val="3"/>
          <c:order val="1"/>
          <c:tx>
            <c:strRef>
              <c:f>[1]Urban!$E$9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([1]Urban!$A$139,[1]Urban!$A$139,[1]Urban!$A$139)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[1]Urban!$E$139</c:f>
              <c:numCache>
                <c:formatCode>General</c:formatCode>
                <c:ptCount val="1"/>
                <c:pt idx="0">
                  <c:v>7.6156892000000004E-2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66-4E1D-BA87-5AE10C654589}"/>
            </c:ext>
          </c:extLst>
        </c:ser>
        <c:ser>
          <c:idx val="0"/>
          <c:order val="2"/>
          <c:tx>
            <c:strRef>
              <c:f>[1]Urban!$F$9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([1]Urban!$A$139,[1]Urban!$A$139,[1]Urban!$A$139)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([1]Urban!$F$140,[1]Urban!$F$139)</c:f>
              <c:numCache>
                <c:formatCode>General</c:formatCode>
                <c:ptCount val="2"/>
                <c:pt idx="1">
                  <c:v>8.1300074999999999E-2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66-4E1D-BA87-5AE10C654589}"/>
            </c:ext>
          </c:extLst>
        </c:ser>
        <c:ser>
          <c:idx val="1"/>
          <c:order val="3"/>
          <c:tx>
            <c:strRef>
              <c:f>[1]Urban!$G$9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([1]Urban!$A$139,[1]Urban!$A$139,[1]Urban!$A$139)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([1]Urban!$G$140,[1]Urban!$G$139)</c:f>
              <c:numCache>
                <c:formatCode>General</c:formatCode>
                <c:ptCount val="2"/>
                <c:pt idx="1">
                  <c:v>0.29613770499999997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66-4E1D-BA87-5AE10C654589}"/>
            </c:ext>
          </c:extLst>
        </c:ser>
        <c:ser>
          <c:idx val="4"/>
          <c:order val="4"/>
          <c:tx>
            <c:strRef>
              <c:f>[1]Urban!$H$9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([1]Urban!$A$139,[1]Urban!$A$139,[1]Urban!$A$139)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([1]Urban!$H$140:$H$141,[1]Urban!$H$139)</c:f>
              <c:numCache>
                <c:formatCode>General</c:formatCode>
                <c:ptCount val="3"/>
                <c:pt idx="2">
                  <c:v>0.299119529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66-4E1D-BA87-5AE10C654589}"/>
            </c:ext>
          </c:extLst>
        </c:ser>
        <c:ser>
          <c:idx val="5"/>
          <c:order val="5"/>
          <c:tx>
            <c:strRef>
              <c:f>[1]Urban!$I$9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([1]Urban!$A$139,[1]Urban!$A$139,[1]Urban!$A$139)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([1]Urban!$I$140:$I$141,[1]Urban!$I$139)</c:f>
              <c:numCache>
                <c:formatCode>General</c:formatCode>
                <c:ptCount val="3"/>
                <c:pt idx="2">
                  <c:v>7.8468268999999993E-2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366-4E1D-BA87-5AE10C654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62568"/>
        <c:axId val="500266096"/>
      </c:barChart>
      <c:catAx>
        <c:axId val="5002625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00266096"/>
        <c:crosses val="autoZero"/>
        <c:auto val="1"/>
        <c:lblAlgn val="ctr"/>
        <c:lblOffset val="100"/>
        <c:noMultiLvlLbl val="0"/>
      </c:catAx>
      <c:valAx>
        <c:axId val="500266096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5002625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[1]Urban!$D$9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([1]Urban!$A$10:$A$12,[1]Urban!$A$10:$A$12,[1]Urban!$A$10:$A$12)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[1]Urban!$D$10:$D$11</c:f>
              <c:numCache>
                <c:formatCode>General</c:formatCode>
                <c:ptCount val="2"/>
                <c:pt idx="0">
                  <c:v>0.47512851</c:v>
                </c:pt>
                <c:pt idx="1">
                  <c:v>0.49393730800000002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03-4ECE-A1CE-ECB488457D29}"/>
            </c:ext>
          </c:extLst>
        </c:ser>
        <c:ser>
          <c:idx val="3"/>
          <c:order val="1"/>
          <c:tx>
            <c:strRef>
              <c:f>[1]Urban!$E$9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([1]Urban!$A$10:$A$12,[1]Urban!$A$10:$A$12,[1]Urban!$A$10:$A$12)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[1]Urban!$E$10:$E$11</c:f>
              <c:numCache>
                <c:formatCode>General</c:formatCode>
                <c:ptCount val="2"/>
                <c:pt idx="0">
                  <c:v>9.2956571000000002E-2</c:v>
                </c:pt>
                <c:pt idx="1">
                  <c:v>9.2193950999999996E-2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03-4ECE-A1CE-ECB488457D29}"/>
            </c:ext>
          </c:extLst>
        </c:ser>
        <c:ser>
          <c:idx val="0"/>
          <c:order val="2"/>
          <c:tx>
            <c:strRef>
              <c:f>[1]Urban!$F$9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([1]Urban!$A$10:$A$12,[1]Urban!$A$10:$A$12,[1]Urban!$A$10:$A$12)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([1]Urban!$N$16:$N$18,[1]Urban!$F$10:$F$11)</c:f>
              <c:numCache>
                <c:formatCode>General</c:formatCode>
                <c:ptCount val="5"/>
                <c:pt idx="3">
                  <c:v>0.18345782399999999</c:v>
                </c:pt>
                <c:pt idx="4">
                  <c:v>0.197197768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03-4ECE-A1CE-ECB488457D29}"/>
            </c:ext>
          </c:extLst>
        </c:ser>
        <c:ser>
          <c:idx val="1"/>
          <c:order val="3"/>
          <c:tx>
            <c:strRef>
              <c:f>[1]Urban!$G$9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([1]Urban!$A$10:$A$12,[1]Urban!$A$10:$A$12,[1]Urban!$A$10:$A$12)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([1]Urban!$N$16:$N$18,[1]Urban!$G$10:$G$11)</c:f>
              <c:numCache>
                <c:formatCode>General</c:formatCode>
                <c:ptCount val="5"/>
                <c:pt idx="3">
                  <c:v>0.38461147200000001</c:v>
                </c:pt>
                <c:pt idx="4">
                  <c:v>0.38893349100000002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03-4ECE-A1CE-ECB488457D29}"/>
            </c:ext>
          </c:extLst>
        </c:ser>
        <c:ser>
          <c:idx val="4"/>
          <c:order val="4"/>
          <c:tx>
            <c:strRef>
              <c:f>[1]Urban!$H$9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([1]Urban!$A$10:$A$12,[1]Urban!$A$10:$A$12,[1]Urban!$A$10:$A$12)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([1]Urban!$N$16:$N$21,[1]Urban!$H$10:$H$11)</c:f>
              <c:numCache>
                <c:formatCode>General</c:formatCode>
                <c:ptCount val="8"/>
                <c:pt idx="6">
                  <c:v>0.46058952199999997</c:v>
                </c:pt>
                <c:pt idx="7">
                  <c:v>0.48152590099999998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03-4ECE-A1CE-ECB488457D29}"/>
            </c:ext>
          </c:extLst>
        </c:ser>
        <c:ser>
          <c:idx val="5"/>
          <c:order val="5"/>
          <c:tx>
            <c:strRef>
              <c:f>[1]Urban!$I$9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([1]Urban!$A$10:$A$12,[1]Urban!$A$10:$A$12,[1]Urban!$A$10:$A$12)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([1]Urban!$N$16:$N$21,[1]Urban!$I$10:$I$11)</c:f>
              <c:numCache>
                <c:formatCode>General</c:formatCode>
                <c:ptCount val="8"/>
                <c:pt idx="6">
                  <c:v>0.107495559</c:v>
                </c:pt>
                <c:pt idx="7">
                  <c:v>0.104605358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303-4ECE-A1CE-ECB488457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[1]Suburban!$D$9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([1]Suburban!$A$43:$A$45,[1]Suburban!$A$43:$A$45,[1]Suburban!$A$43:$A$45)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[1]Suburban!$D$43:$D$44</c:f>
              <c:numCache>
                <c:formatCode>General</c:formatCode>
                <c:ptCount val="2"/>
                <c:pt idx="0">
                  <c:v>0.53349623599999996</c:v>
                </c:pt>
                <c:pt idx="1">
                  <c:v>0.51641888199999997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0E-4858-A74F-5CA62FE265F2}"/>
            </c:ext>
          </c:extLst>
        </c:ser>
        <c:ser>
          <c:idx val="3"/>
          <c:order val="1"/>
          <c:tx>
            <c:strRef>
              <c:f>[1]Suburban!$E$9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([1]Suburban!$A$43:$A$45,[1]Suburban!$A$43:$A$45,[1]Suburban!$A$43:$A$45)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[1]Suburban!$E$43:$E$44</c:f>
              <c:numCache>
                <c:formatCode>General</c:formatCode>
                <c:ptCount val="2"/>
                <c:pt idx="0">
                  <c:v>0.13243927799999999</c:v>
                </c:pt>
                <c:pt idx="1">
                  <c:v>0.136210886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0E-4858-A74F-5CA62FE265F2}"/>
            </c:ext>
          </c:extLst>
        </c:ser>
        <c:ser>
          <c:idx val="0"/>
          <c:order val="2"/>
          <c:tx>
            <c:strRef>
              <c:f>[1]Suburban!$F$9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([1]Suburban!$A$43:$A$45,[1]Suburban!$A$43:$A$45,[1]Suburban!$A$43:$A$45)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([1]Suburban!$N$16:$N$18,[1]Suburban!$F$43:$F$44)</c:f>
              <c:numCache>
                <c:formatCode>General</c:formatCode>
                <c:ptCount val="5"/>
                <c:pt idx="3">
                  <c:v>0.20972811499999999</c:v>
                </c:pt>
                <c:pt idx="4">
                  <c:v>0.18726447800000001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0E-4858-A74F-5CA62FE265F2}"/>
            </c:ext>
          </c:extLst>
        </c:ser>
        <c:ser>
          <c:idx val="1"/>
          <c:order val="3"/>
          <c:tx>
            <c:strRef>
              <c:f>[1]Suburban!$G$9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([1]Suburban!$A$43:$A$45,[1]Suburban!$A$43:$A$45,[1]Suburban!$A$43:$A$45)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([1]Suburban!$N$16:$N$18,[1]Suburban!$G$43:$G$44)</c:f>
              <c:numCache>
                <c:formatCode>General</c:formatCode>
                <c:ptCount val="5"/>
                <c:pt idx="3">
                  <c:v>0.45619638200000001</c:v>
                </c:pt>
                <c:pt idx="4">
                  <c:v>0.46535468099999999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0E-4858-A74F-5CA62FE265F2}"/>
            </c:ext>
          </c:extLst>
        </c:ser>
        <c:ser>
          <c:idx val="4"/>
          <c:order val="4"/>
          <c:tx>
            <c:strRef>
              <c:f>[1]Suburban!$H$9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([1]Suburban!$A$43:$A$45,[1]Suburban!$A$43:$A$45,[1]Suburban!$A$43:$A$45)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([1]Suburban!$N$16:$N$21,[1]Suburban!$H$43:$H$44)</c:f>
              <c:numCache>
                <c:formatCode>General</c:formatCode>
                <c:ptCount val="8"/>
                <c:pt idx="6">
                  <c:v>0.52151208699999996</c:v>
                </c:pt>
                <c:pt idx="7">
                  <c:v>0.493310215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0E-4858-A74F-5CA62FE265F2}"/>
            </c:ext>
          </c:extLst>
        </c:ser>
        <c:ser>
          <c:idx val="5"/>
          <c:order val="5"/>
          <c:tx>
            <c:strRef>
              <c:f>[1]Suburban!$I$9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([1]Suburban!$A$43:$A$45,[1]Suburban!$A$43:$A$45,[1]Suburban!$A$43:$A$45)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([1]Suburban!$N$16:$N$21,[1]Suburban!$I$43:$I$44)</c:f>
              <c:numCache>
                <c:formatCode>General</c:formatCode>
                <c:ptCount val="8"/>
                <c:pt idx="6">
                  <c:v>0.14442342699999999</c:v>
                </c:pt>
                <c:pt idx="7">
                  <c:v>0.159319553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60E-4858-A74F-5CA62FE26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94EF-4BB6-8009-D35C44FE9667}"/>
              </c:ext>
            </c:extLst>
          </c:dPt>
          <c:dPt>
            <c:idx val="5"/>
            <c:invertIfNegative val="0"/>
            <c:bubble3D val="0"/>
            <c:spPr>
              <a:solidFill>
                <a:srgbClr val="3B64AD"/>
              </a:solidFill>
            </c:spPr>
            <c:extLst>
              <c:ext xmlns:c16="http://schemas.microsoft.com/office/drawing/2014/chart" uri="{C3380CC4-5D6E-409C-BE32-E72D297353CC}">
                <c16:uniqueId val="{00000001-94EF-4BB6-8009-D35C44FE9667}"/>
              </c:ext>
            </c:extLst>
          </c:dPt>
          <c:dPt>
            <c:idx val="6"/>
            <c:invertIfNegative val="0"/>
            <c:bubble3D val="0"/>
            <c:spPr>
              <a:solidFill>
                <a:srgbClr val="D26E2A"/>
              </a:solidFill>
            </c:spPr>
            <c:extLst>
              <c:ext xmlns:c16="http://schemas.microsoft.com/office/drawing/2014/chart" uri="{C3380CC4-5D6E-409C-BE32-E72D297353CC}">
                <c16:uniqueId val="{00000002-94EF-4BB6-8009-D35C44FE9667}"/>
              </c:ext>
            </c:extLst>
          </c:dPt>
          <c:dPt>
            <c:idx val="8"/>
            <c:invertIfNegative val="0"/>
            <c:bubble3D val="0"/>
            <c:spPr>
              <a:solidFill>
                <a:srgbClr val="5089BC"/>
              </a:solidFill>
            </c:spPr>
            <c:extLst>
              <c:ext xmlns:c16="http://schemas.microsoft.com/office/drawing/2014/chart" uri="{C3380CC4-5D6E-409C-BE32-E72D297353CC}">
                <c16:uniqueId val="{00000003-94EF-4BB6-8009-D35C44FE9667}"/>
              </c:ext>
            </c:extLst>
          </c:dPt>
          <c:dPt>
            <c:idx val="9"/>
            <c:invertIfNegative val="0"/>
            <c:bubble3D val="0"/>
            <c:spPr>
              <a:solidFill>
                <a:srgbClr val="62993E"/>
              </a:solidFill>
            </c:spPr>
            <c:extLst>
              <c:ext xmlns:c16="http://schemas.microsoft.com/office/drawing/2014/chart" uri="{C3380CC4-5D6E-409C-BE32-E72D297353CC}">
                <c16:uniqueId val="{00000004-94EF-4BB6-8009-D35C44FE9667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([1]Suburban!$C$107,[1]Suburban!$O$109,[1]Suburban!$D$107,[1]Suburban!$E$107,[1]Suburban!$O$110,[1]Suburban!$F$107,[1]Suburban!$G$107,[1]Suburban!$O$111,[1]Suburban!$H$107,[1]Suburban!$I$107)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([1]Suburban!$C$108,[1]Suburban!$O$109,[1]Suburban!$D$108,[1]Suburban!$E$108,[1]Suburban!$O$109,[1]Suburban!$F$108,[1]Suburban!$G$108,[1]Suburban!$O$110,[1]Suburban!$H$108,[1]Suburban!$I$108)</c:f>
              <c:numCache>
                <c:formatCode>General</c:formatCode>
                <c:ptCount val="10"/>
                <c:pt idx="0">
                  <c:v>0.85247216999999997</c:v>
                </c:pt>
                <c:pt idx="2">
                  <c:v>0.83863633500000001</c:v>
                </c:pt>
                <c:pt idx="3">
                  <c:v>0.90820613100000003</c:v>
                </c:pt>
                <c:pt idx="5">
                  <c:v>0.72546094400000005</c:v>
                </c:pt>
                <c:pt idx="6">
                  <c:v>0.91088147699999999</c:v>
                </c:pt>
                <c:pt idx="8">
                  <c:v>0.83433676400000001</c:v>
                </c:pt>
                <c:pt idx="9">
                  <c:v>0.91795900600000002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155-4B04-A80E-F12726CFB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00267664"/>
        <c:axId val="500265312"/>
      </c:barChart>
      <c:catAx>
        <c:axId val="50026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00265312"/>
        <c:crosses val="autoZero"/>
        <c:auto val="1"/>
        <c:lblAlgn val="ctr"/>
        <c:lblOffset val="100"/>
        <c:noMultiLvlLbl val="0"/>
      </c:catAx>
      <c:valAx>
        <c:axId val="500265312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500267664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[1]Suburban!$D$9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([1]Suburban!$A$76:$A$78,[1]Suburban!$A$76:$A$78,[1]Suburban!$A$76:$A$78)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[1]Suburban!$D$76:$D$77</c:f>
              <c:numCache>
                <c:formatCode>General</c:formatCode>
                <c:ptCount val="2"/>
                <c:pt idx="0">
                  <c:v>0.59384818800000005</c:v>
                </c:pt>
                <c:pt idx="1">
                  <c:v>0.56583404900000001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E8-4D8E-8A1E-B98FE55FDD6C}"/>
            </c:ext>
          </c:extLst>
        </c:ser>
        <c:ser>
          <c:idx val="3"/>
          <c:order val="1"/>
          <c:tx>
            <c:strRef>
              <c:f>[1]Suburban!$E$9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([1]Suburban!$A$76:$A$78,[1]Suburban!$A$76:$A$78,[1]Suburban!$A$76:$A$78)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[1]Suburban!$E$76:$E$77</c:f>
              <c:numCache>
                <c:formatCode>General</c:formatCode>
                <c:ptCount val="2"/>
                <c:pt idx="0">
                  <c:v>0.141029717</c:v>
                </c:pt>
                <c:pt idx="1">
                  <c:v>0.138387285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E8-4D8E-8A1E-B98FE55FDD6C}"/>
            </c:ext>
          </c:extLst>
        </c:ser>
        <c:ser>
          <c:idx val="0"/>
          <c:order val="2"/>
          <c:tx>
            <c:strRef>
              <c:f>[1]Suburban!$F$9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([1]Suburban!$A$76:$A$78,[1]Suburban!$A$76:$A$78,[1]Suburban!$A$76:$A$78)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([1]Suburban!$K$76:$K$78,[1]Suburban!$F$76:$F$77)</c:f>
              <c:numCache>
                <c:formatCode>General</c:formatCode>
                <c:ptCount val="5"/>
                <c:pt idx="3">
                  <c:v>0.249699264</c:v>
                </c:pt>
                <c:pt idx="4">
                  <c:v>0.23287455400000001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E8-4D8E-8A1E-B98FE55FDD6C}"/>
            </c:ext>
          </c:extLst>
        </c:ser>
        <c:ser>
          <c:idx val="1"/>
          <c:order val="3"/>
          <c:tx>
            <c:strRef>
              <c:f>[1]Suburban!$G$9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([1]Suburban!$A$76:$A$78,[1]Suburban!$A$76:$A$78,[1]Suburban!$A$76:$A$78)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([1]Suburban!$K$76:$K$78,[1]Suburban!$G$76:$G$77)</c:f>
              <c:numCache>
                <c:formatCode>General</c:formatCode>
                <c:ptCount val="5"/>
                <c:pt idx="3">
                  <c:v>0.48515223699999999</c:v>
                </c:pt>
                <c:pt idx="4">
                  <c:v>0.47131152500000001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E8-4D8E-8A1E-B98FE55FDD6C}"/>
            </c:ext>
          </c:extLst>
        </c:ser>
        <c:ser>
          <c:idx val="4"/>
          <c:order val="4"/>
          <c:tx>
            <c:strRef>
              <c:f>[1]Suburban!$H$9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([1]Suburban!$A$76:$A$78,[1]Suburban!$A$76:$A$78,[1]Suburban!$A$76:$A$78)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([1]Suburban!$K$76:$K$81,[1]Suburban!$H$76:$H$77)</c:f>
              <c:numCache>
                <c:formatCode>General</c:formatCode>
                <c:ptCount val="8"/>
                <c:pt idx="6">
                  <c:v>0.57976559999999999</c:v>
                </c:pt>
                <c:pt idx="7">
                  <c:v>0.55146034099999997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E8-4D8E-8A1E-B98FE55FDD6C}"/>
            </c:ext>
          </c:extLst>
        </c:ser>
        <c:ser>
          <c:idx val="5"/>
          <c:order val="5"/>
          <c:tx>
            <c:strRef>
              <c:f>[1]Suburban!$I$9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([1]Suburban!$A$76:$A$78,[1]Suburban!$A$76:$A$78,[1]Suburban!$A$76:$A$78)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([1]Suburban!$K$76:$K$81,[1]Suburban!$I$76:$I$77)</c:f>
              <c:numCache>
                <c:formatCode>General</c:formatCode>
                <c:ptCount val="8"/>
                <c:pt idx="6">
                  <c:v>0.15511230500000001</c:v>
                </c:pt>
                <c:pt idx="7">
                  <c:v>0.15276099200000001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E8-4D8E-8A1E-B98FE55FD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61000"/>
        <c:axId val="500272760"/>
      </c:barChart>
      <c:catAx>
        <c:axId val="500261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00272760"/>
        <c:crosses val="autoZero"/>
        <c:auto val="1"/>
        <c:lblAlgn val="ctr"/>
        <c:lblOffset val="100"/>
        <c:noMultiLvlLbl val="0"/>
      </c:catAx>
      <c:valAx>
        <c:axId val="500272760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50026100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[1]Suburban!$D$9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([1]Suburban!$A$139,[1]Suburban!$A$139,[1]Suburban!$A$139)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[1]Suburban!$D$139</c:f>
              <c:numCache>
                <c:formatCode>General</c:formatCode>
                <c:ptCount val="1"/>
                <c:pt idx="0">
                  <c:v>0.35547261499999999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CB-4B60-99D3-3DE0D061C920}"/>
            </c:ext>
          </c:extLst>
        </c:ser>
        <c:ser>
          <c:idx val="3"/>
          <c:order val="1"/>
          <c:tx>
            <c:strRef>
              <c:f>[1]Suburban!$E$9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([1]Suburban!$A$139,[1]Suburban!$A$139,[1]Suburban!$A$139)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[1]Suburban!$E$139</c:f>
              <c:numCache>
                <c:formatCode>General</c:formatCode>
                <c:ptCount val="1"/>
                <c:pt idx="0">
                  <c:v>0.119474926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CB-4B60-99D3-3DE0D061C920}"/>
            </c:ext>
          </c:extLst>
        </c:ser>
        <c:ser>
          <c:idx val="0"/>
          <c:order val="2"/>
          <c:tx>
            <c:strRef>
              <c:f>[1]Suburban!$F$9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([1]Suburban!$A$139,[1]Suburban!$A$139,[1]Suburban!$A$139)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([1]Suburban!$F$140,[1]Suburban!$F$139)</c:f>
              <c:numCache>
                <c:formatCode>General</c:formatCode>
                <c:ptCount val="2"/>
                <c:pt idx="1">
                  <c:v>8.5850198000000003E-2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CB-4B60-99D3-3DE0D061C920}"/>
            </c:ext>
          </c:extLst>
        </c:ser>
        <c:ser>
          <c:idx val="1"/>
          <c:order val="3"/>
          <c:tx>
            <c:strRef>
              <c:f>[1]Suburban!$G$9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([1]Suburban!$A$139,[1]Suburban!$A$139,[1]Suburban!$A$139)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([1]Suburban!$G$140,[1]Suburban!$G$139)</c:f>
              <c:numCache>
                <c:formatCode>General</c:formatCode>
                <c:ptCount val="2"/>
                <c:pt idx="1">
                  <c:v>0.38893008600000001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CB-4B60-99D3-3DE0D061C920}"/>
            </c:ext>
          </c:extLst>
        </c:ser>
        <c:ser>
          <c:idx val="4"/>
          <c:order val="4"/>
          <c:tx>
            <c:strRef>
              <c:f>[1]Suburban!$H$9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([1]Suburban!$A$139,[1]Suburban!$A$139,[1]Suburban!$A$139)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([1]Suburban!$H$140:$H$141,[1]Suburban!$H$139)</c:f>
              <c:numCache>
                <c:formatCode>General</c:formatCode>
                <c:ptCount val="3"/>
                <c:pt idx="2">
                  <c:v>0.34828285599999997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CB-4B60-99D3-3DE0D061C920}"/>
            </c:ext>
          </c:extLst>
        </c:ser>
        <c:ser>
          <c:idx val="5"/>
          <c:order val="5"/>
          <c:tx>
            <c:strRef>
              <c:f>[1]Suburban!$I$9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([1]Suburban!$A$139,[1]Suburban!$A$139,[1]Suburban!$A$139)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([1]Suburban!$I$140:$I$141,[1]Suburban!$I$139)</c:f>
              <c:numCache>
                <c:formatCode>General</c:formatCode>
                <c:ptCount val="3"/>
                <c:pt idx="2">
                  <c:v>0.126664686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5CB-4B60-99D3-3DE0D061C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62568"/>
        <c:axId val="500266096"/>
      </c:barChart>
      <c:catAx>
        <c:axId val="5002625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00266096"/>
        <c:crosses val="autoZero"/>
        <c:auto val="1"/>
        <c:lblAlgn val="ctr"/>
        <c:lblOffset val="100"/>
        <c:noMultiLvlLbl val="0"/>
      </c:catAx>
      <c:valAx>
        <c:axId val="500266096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5002625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'[1]High Poverty'!$D$9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 Poverty'!$A$139,'[1]High Poverty'!$A$139,'[1]High Poverty'!$A$139)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'[1]High Poverty'!$D$139</c:f>
              <c:numCache>
                <c:formatCode>General</c:formatCode>
                <c:ptCount val="1"/>
                <c:pt idx="0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CD-404D-A8F8-A80035DE1BAB}"/>
            </c:ext>
          </c:extLst>
        </c:ser>
        <c:ser>
          <c:idx val="3"/>
          <c:order val="1"/>
          <c:tx>
            <c:strRef>
              <c:f>'[1]High Poverty'!$E$9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 Poverty'!$A$139,'[1]High Poverty'!$A$139,'[1]High Poverty'!$A$139)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'[1]High Poverty'!$E$139</c:f>
              <c:numCache>
                <c:formatCode>General</c:formatCode>
                <c:ptCount val="1"/>
                <c:pt idx="0">
                  <c:v>3.9E-2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CD-404D-A8F8-A80035DE1BAB}"/>
            </c:ext>
          </c:extLst>
        </c:ser>
        <c:ser>
          <c:idx val="0"/>
          <c:order val="2"/>
          <c:tx>
            <c:strRef>
              <c:f>'[1]High Poverty'!$F$9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 Poverty'!$A$139,'[1]High Poverty'!$A$139,'[1]High Poverty'!$A$139)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('[1]High Poverty'!$F$140,'[1]High Poverty'!$F$139)</c:f>
              <c:numCache>
                <c:formatCode>General</c:formatCode>
                <c:ptCount val="2"/>
                <c:pt idx="1">
                  <c:v>8.4000000000000005E-2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CD-404D-A8F8-A80035DE1BAB}"/>
            </c:ext>
          </c:extLst>
        </c:ser>
        <c:ser>
          <c:idx val="1"/>
          <c:order val="3"/>
          <c:tx>
            <c:strRef>
              <c:f>'[1]High Poverty'!$G$9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 Poverty'!$A$139,'[1]High Poverty'!$A$139,'[1]High Poverty'!$A$139)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('[1]High Poverty'!$G$140,'[1]High Poverty'!$G$139)</c:f>
              <c:numCache>
                <c:formatCode>General</c:formatCode>
                <c:ptCount val="2"/>
                <c:pt idx="1">
                  <c:v>0.16400000000000001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CD-404D-A8F8-A80035DE1BAB}"/>
            </c:ext>
          </c:extLst>
        </c:ser>
        <c:ser>
          <c:idx val="4"/>
          <c:order val="4"/>
          <c:tx>
            <c:strRef>
              <c:f>'[1]High Poverty'!$H$9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 Poverty'!$A$139,'[1]High Poverty'!$A$139,'[1]High Poverty'!$A$139)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('[1]High Poverty'!$H$140:$H$141,'[1]High Poverty'!$H$139)</c:f>
              <c:numCache>
                <c:formatCode>General</c:formatCode>
                <c:ptCount val="3"/>
                <c:pt idx="2">
                  <c:v>0.224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CD-404D-A8F8-A80035DE1BAB}"/>
            </c:ext>
          </c:extLst>
        </c:ser>
        <c:ser>
          <c:idx val="5"/>
          <c:order val="5"/>
          <c:tx>
            <c:strRef>
              <c:f>'[1]High Poverty'!$I$9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('[1]High Poverty'!$A$139,'[1]High Poverty'!$A$139,'[1]High Poverty'!$A$139)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('[1]High Poverty'!$I$140:$I$141,'[1]High Poverty'!$I$139)</c:f>
              <c:numCache>
                <c:formatCode>General</c:formatCode>
                <c:ptCount val="3"/>
                <c:pt idx="2">
                  <c:v>2.5000000000000001E-2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CD-404D-A8F8-A80035DE1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62568"/>
        <c:axId val="500266096"/>
      </c:barChart>
      <c:catAx>
        <c:axId val="5002625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00266096"/>
        <c:crosses val="autoZero"/>
        <c:auto val="1"/>
        <c:lblAlgn val="ctr"/>
        <c:lblOffset val="100"/>
        <c:noMultiLvlLbl val="0"/>
      </c:catAx>
      <c:valAx>
        <c:axId val="500266096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5002625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[1]Suburban!$D$9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([1]Suburban!$A$10:$A$12,[1]Suburban!$A$10:$A$12,[1]Suburban!$A$10:$A$12)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[1]Suburban!$D$10:$D$11</c:f>
              <c:numCache>
                <c:formatCode>General</c:formatCode>
                <c:ptCount val="2"/>
                <c:pt idx="0">
                  <c:v>0.489734</c:v>
                </c:pt>
                <c:pt idx="1">
                  <c:v>0.50529714400000003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F-40C3-B702-648ED74B46BA}"/>
            </c:ext>
          </c:extLst>
        </c:ser>
        <c:ser>
          <c:idx val="3"/>
          <c:order val="1"/>
          <c:tx>
            <c:strRef>
              <c:f>[1]Suburban!$E$9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([1]Suburban!$A$10:$A$12,[1]Suburban!$A$10:$A$12,[1]Suburban!$A$10:$A$12)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[1]Suburban!$E$10:$E$11</c:f>
              <c:numCache>
                <c:formatCode>General</c:formatCode>
                <c:ptCount val="2"/>
                <c:pt idx="0">
                  <c:v>0.130662684</c:v>
                </c:pt>
                <c:pt idx="1">
                  <c:v>0.13180236400000001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9F-40C3-B702-648ED74B46BA}"/>
            </c:ext>
          </c:extLst>
        </c:ser>
        <c:ser>
          <c:idx val="0"/>
          <c:order val="2"/>
          <c:tx>
            <c:strRef>
              <c:f>[1]Suburban!$F$9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([1]Suburban!$A$10:$A$12,[1]Suburban!$A$10:$A$12,[1]Suburban!$A$10:$A$12)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([1]Suburban!$N$16:$N$18,[1]Suburban!$F$10:$F$11)</c:f>
              <c:numCache>
                <c:formatCode>General</c:formatCode>
                <c:ptCount val="5"/>
                <c:pt idx="3">
                  <c:v>0.17130352700000001</c:v>
                </c:pt>
                <c:pt idx="4">
                  <c:v>0.17381175800000001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9F-40C3-B702-648ED74B46BA}"/>
            </c:ext>
          </c:extLst>
        </c:ser>
        <c:ser>
          <c:idx val="1"/>
          <c:order val="3"/>
          <c:tx>
            <c:strRef>
              <c:f>[1]Suburban!$G$9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([1]Suburban!$A$10:$A$12,[1]Suburban!$A$10:$A$12,[1]Suburban!$A$10:$A$12)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([1]Suburban!$N$16:$N$18,[1]Suburban!$G$10:$G$11)</c:f>
              <c:numCache>
                <c:formatCode>General</c:formatCode>
                <c:ptCount val="5"/>
                <c:pt idx="3">
                  <c:v>0.449082549</c:v>
                </c:pt>
                <c:pt idx="4">
                  <c:v>0.46328775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9F-40C3-B702-648ED74B46BA}"/>
            </c:ext>
          </c:extLst>
        </c:ser>
        <c:ser>
          <c:idx val="4"/>
          <c:order val="4"/>
          <c:tx>
            <c:strRef>
              <c:f>[1]Suburban!$H$9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([1]Suburban!$A$10:$A$12,[1]Suburban!$A$10:$A$12,[1]Suburban!$A$10:$A$12)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([1]Suburban!$N$16:$N$21,[1]Suburban!$H$10:$H$11)</c:f>
              <c:numCache>
                <c:formatCode>General</c:formatCode>
                <c:ptCount val="8"/>
                <c:pt idx="6">
                  <c:v>0.46685871800000001</c:v>
                </c:pt>
                <c:pt idx="7">
                  <c:v>0.47802290600000003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9F-40C3-B702-648ED74B46BA}"/>
            </c:ext>
          </c:extLst>
        </c:ser>
        <c:ser>
          <c:idx val="5"/>
          <c:order val="5"/>
          <c:tx>
            <c:strRef>
              <c:f>[1]Suburban!$I$9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([1]Suburban!$A$10:$A$12,[1]Suburban!$A$10:$A$12,[1]Suburban!$A$10:$A$12)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([1]Suburban!$N$16:$N$21,[1]Suburban!$I$10:$I$11)</c:f>
              <c:numCache>
                <c:formatCode>General</c:formatCode>
                <c:ptCount val="8"/>
                <c:pt idx="6">
                  <c:v>0.153537966</c:v>
                </c:pt>
                <c:pt idx="7">
                  <c:v>0.15907660200000001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B9F-40C3-B702-648ED74B4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[1]Rural!$D$9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([1]Rural!$A$43:$A$45,[1]Rural!$A$43:$A$45,[1]Rural!$A$43:$A$45)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[1]Rural!$D$43:$D$44</c:f>
              <c:numCache>
                <c:formatCode>General</c:formatCode>
                <c:ptCount val="2"/>
                <c:pt idx="0">
                  <c:v>0.480146609</c:v>
                </c:pt>
                <c:pt idx="1">
                  <c:v>0.472198165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58-4C65-802D-7DF1742FAD8D}"/>
            </c:ext>
          </c:extLst>
        </c:ser>
        <c:ser>
          <c:idx val="3"/>
          <c:order val="1"/>
          <c:tx>
            <c:strRef>
              <c:f>[1]Rural!$E$9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([1]Rural!$A$43:$A$45,[1]Rural!$A$43:$A$45,[1]Rural!$A$43:$A$45)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[1]Rural!$E$43:$E$44</c:f>
              <c:numCache>
                <c:formatCode>General</c:formatCode>
                <c:ptCount val="2"/>
                <c:pt idx="0">
                  <c:v>9.7808926000000004E-2</c:v>
                </c:pt>
                <c:pt idx="1">
                  <c:v>9.9653380999999999E-2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58-4C65-802D-7DF1742FAD8D}"/>
            </c:ext>
          </c:extLst>
        </c:ser>
        <c:ser>
          <c:idx val="0"/>
          <c:order val="2"/>
          <c:tx>
            <c:strRef>
              <c:f>[1]Rural!$F$9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([1]Rural!$A$43:$A$45,[1]Rural!$A$43:$A$45,[1]Rural!$A$43:$A$45)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([1]Rural!$N$16:$N$18,[1]Rural!$F$43:$F$44)</c:f>
              <c:numCache>
                <c:formatCode>General</c:formatCode>
                <c:ptCount val="5"/>
                <c:pt idx="3">
                  <c:v>0.22356673699999999</c:v>
                </c:pt>
                <c:pt idx="4">
                  <c:v>0.20882539999999999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58-4C65-802D-7DF1742FAD8D}"/>
            </c:ext>
          </c:extLst>
        </c:ser>
        <c:ser>
          <c:idx val="1"/>
          <c:order val="3"/>
          <c:tx>
            <c:strRef>
              <c:f>[1]Rural!$G$9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([1]Rural!$A$43:$A$45,[1]Rural!$A$43:$A$45,[1]Rural!$A$43:$A$45)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([1]Rural!$N$16:$N$18,[1]Rural!$G$43:$G$44)</c:f>
              <c:numCache>
                <c:formatCode>General</c:formatCode>
                <c:ptCount val="5"/>
                <c:pt idx="3">
                  <c:v>0.35438505100000001</c:v>
                </c:pt>
                <c:pt idx="4">
                  <c:v>0.36301029200000001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58-4C65-802D-7DF1742FAD8D}"/>
            </c:ext>
          </c:extLst>
        </c:ser>
        <c:ser>
          <c:idx val="4"/>
          <c:order val="4"/>
          <c:tx>
            <c:strRef>
              <c:f>[1]Rural!$H$9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([1]Rural!$A$43:$A$45,[1]Rural!$A$43:$A$45,[1]Rural!$A$43:$A$45)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([1]Rural!$N$16:$N$21,[1]Rural!$H$43:$H$44)</c:f>
              <c:numCache>
                <c:formatCode>General</c:formatCode>
                <c:ptCount val="8"/>
                <c:pt idx="6">
                  <c:v>0.47772685599999998</c:v>
                </c:pt>
                <c:pt idx="7">
                  <c:v>0.46114164200000002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58-4C65-802D-7DF1742FAD8D}"/>
            </c:ext>
          </c:extLst>
        </c:ser>
        <c:ser>
          <c:idx val="5"/>
          <c:order val="5"/>
          <c:tx>
            <c:strRef>
              <c:f>[1]Rural!$I$9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([1]Rural!$A$43:$A$45,[1]Rural!$A$43:$A$45,[1]Rural!$A$43:$A$45)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([1]Rural!$N$16:$N$21,[1]Rural!$I$43:$I$44)</c:f>
              <c:numCache>
                <c:formatCode>General</c:formatCode>
                <c:ptCount val="8"/>
                <c:pt idx="6">
                  <c:v>0.100228678</c:v>
                </c:pt>
                <c:pt idx="7">
                  <c:v>0.110709904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58-4C65-802D-7DF1742FA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2F18-4F92-8F30-4D380ED948B7}"/>
              </c:ext>
            </c:extLst>
          </c:dPt>
          <c:dPt>
            <c:idx val="5"/>
            <c:invertIfNegative val="0"/>
            <c:bubble3D val="0"/>
            <c:spPr>
              <a:solidFill>
                <a:srgbClr val="3B64AD"/>
              </a:solidFill>
            </c:spPr>
            <c:extLst>
              <c:ext xmlns:c16="http://schemas.microsoft.com/office/drawing/2014/chart" uri="{C3380CC4-5D6E-409C-BE32-E72D297353CC}">
                <c16:uniqueId val="{00000001-2F18-4F92-8F30-4D380ED948B7}"/>
              </c:ext>
            </c:extLst>
          </c:dPt>
          <c:dPt>
            <c:idx val="6"/>
            <c:invertIfNegative val="0"/>
            <c:bubble3D val="0"/>
            <c:spPr>
              <a:solidFill>
                <a:srgbClr val="D26E2A"/>
              </a:solidFill>
            </c:spPr>
            <c:extLst>
              <c:ext xmlns:c16="http://schemas.microsoft.com/office/drawing/2014/chart" uri="{C3380CC4-5D6E-409C-BE32-E72D297353CC}">
                <c16:uniqueId val="{00000002-2F18-4F92-8F30-4D380ED948B7}"/>
              </c:ext>
            </c:extLst>
          </c:dPt>
          <c:dPt>
            <c:idx val="8"/>
            <c:invertIfNegative val="0"/>
            <c:bubble3D val="0"/>
            <c:spPr>
              <a:solidFill>
                <a:srgbClr val="5089BC"/>
              </a:solidFill>
            </c:spPr>
            <c:extLst>
              <c:ext xmlns:c16="http://schemas.microsoft.com/office/drawing/2014/chart" uri="{C3380CC4-5D6E-409C-BE32-E72D297353CC}">
                <c16:uniqueId val="{00000003-2F18-4F92-8F30-4D380ED948B7}"/>
              </c:ext>
            </c:extLst>
          </c:dPt>
          <c:dPt>
            <c:idx val="9"/>
            <c:invertIfNegative val="0"/>
            <c:bubble3D val="0"/>
            <c:spPr>
              <a:solidFill>
                <a:srgbClr val="62993E"/>
              </a:solidFill>
            </c:spPr>
            <c:extLst>
              <c:ext xmlns:c16="http://schemas.microsoft.com/office/drawing/2014/chart" uri="{C3380CC4-5D6E-409C-BE32-E72D297353CC}">
                <c16:uniqueId val="{00000004-2F18-4F92-8F30-4D380ED948B7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([1]Rural!$C$107,[1]Rural!$O$109,[1]Rural!$D$107,[1]Rural!$E$107,[1]Rural!$O$110,[1]Rural!$F$107,[1]Rural!$G$107,[1]Rural!$O$111,[1]Rural!$H$107,[1]Rural!$I$107)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([1]Rural!$C$108,[1]Rural!$O$109,[1]Rural!$D$108,[1]Rural!$E$108,[1]Rural!$O$109,[1]Rural!$F$108,[1]Rural!$G$108,[1]Rural!$O$110,[1]Rural!$H$108,[1]Rural!$I$108)</c:f>
              <c:numCache>
                <c:formatCode>General</c:formatCode>
                <c:ptCount val="10"/>
                <c:pt idx="0">
                  <c:v>0.79638229000000005</c:v>
                </c:pt>
                <c:pt idx="2">
                  <c:v>0.78134251799999999</c:v>
                </c:pt>
                <c:pt idx="3">
                  <c:v>0.87021292900000002</c:v>
                </c:pt>
                <c:pt idx="5">
                  <c:v>0.67289375100000004</c:v>
                </c:pt>
                <c:pt idx="6">
                  <c:v>0.87429447199999999</c:v>
                </c:pt>
                <c:pt idx="8">
                  <c:v>0.78271267099999997</c:v>
                </c:pt>
                <c:pt idx="9">
                  <c:v>0.861536737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872-4F5F-9E19-D9E7A1D71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00267664"/>
        <c:axId val="500265312"/>
      </c:barChart>
      <c:catAx>
        <c:axId val="50026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00265312"/>
        <c:crosses val="autoZero"/>
        <c:auto val="1"/>
        <c:lblAlgn val="ctr"/>
        <c:lblOffset val="100"/>
        <c:noMultiLvlLbl val="0"/>
      </c:catAx>
      <c:valAx>
        <c:axId val="500265312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500267664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[1]Rural!$D$9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([1]Rural!$A$76:$A$78,[1]Rural!$A$76:$A$78,[1]Rural!$A$76:$A$78)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[1]Rural!$D$76:$D$77</c:f>
              <c:numCache>
                <c:formatCode>General</c:formatCode>
                <c:ptCount val="2"/>
                <c:pt idx="0">
                  <c:v>0.54139408099999997</c:v>
                </c:pt>
                <c:pt idx="1">
                  <c:v>0.51181314700000002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6A-42C2-8ACB-6D449835FD1B}"/>
            </c:ext>
          </c:extLst>
        </c:ser>
        <c:ser>
          <c:idx val="3"/>
          <c:order val="1"/>
          <c:tx>
            <c:strRef>
              <c:f>[1]Rural!$E$9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([1]Rural!$A$76:$A$78,[1]Rural!$A$76:$A$78,[1]Rural!$A$76:$A$78)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[1]Rural!$E$76:$E$77</c:f>
              <c:numCache>
                <c:formatCode>General</c:formatCode>
                <c:ptCount val="2"/>
                <c:pt idx="0">
                  <c:v>0.108438017</c:v>
                </c:pt>
                <c:pt idx="1">
                  <c:v>0.10327958800000001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6A-42C2-8ACB-6D449835FD1B}"/>
            </c:ext>
          </c:extLst>
        </c:ser>
        <c:ser>
          <c:idx val="0"/>
          <c:order val="2"/>
          <c:tx>
            <c:strRef>
              <c:f>[1]Rural!$F$9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([1]Rural!$A$76:$A$78,[1]Rural!$A$76:$A$78,[1]Rural!$A$76:$A$78)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([1]Rural!$K$76:$K$78,[1]Rural!$F$76:$F$77)</c:f>
              <c:numCache>
                <c:formatCode>General</c:formatCode>
                <c:ptCount val="5"/>
                <c:pt idx="3">
                  <c:v>0.26091729299999999</c:v>
                </c:pt>
                <c:pt idx="4">
                  <c:v>0.24651505100000001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6A-42C2-8ACB-6D449835FD1B}"/>
            </c:ext>
          </c:extLst>
        </c:ser>
        <c:ser>
          <c:idx val="1"/>
          <c:order val="3"/>
          <c:tx>
            <c:strRef>
              <c:f>[1]Rural!$G$9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([1]Rural!$A$76:$A$78,[1]Rural!$A$76:$A$78,[1]Rural!$A$76:$A$78)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([1]Rural!$K$76:$K$78,[1]Rural!$G$76:$G$77)</c:f>
              <c:numCache>
                <c:formatCode>General</c:formatCode>
                <c:ptCount val="5"/>
                <c:pt idx="3">
                  <c:v>0.38890554900000002</c:v>
                </c:pt>
                <c:pt idx="4">
                  <c:v>0.36856832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6A-42C2-8ACB-6D449835FD1B}"/>
            </c:ext>
          </c:extLst>
        </c:ser>
        <c:ser>
          <c:idx val="4"/>
          <c:order val="4"/>
          <c:tx>
            <c:strRef>
              <c:f>[1]Rural!$H$9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([1]Rural!$A$76:$A$78,[1]Rural!$A$76:$A$78,[1]Rural!$A$76:$A$78)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([1]Rural!$K$76:$K$81,[1]Rural!$H$76:$H$77)</c:f>
              <c:numCache>
                <c:formatCode>General</c:formatCode>
                <c:ptCount val="8"/>
                <c:pt idx="6">
                  <c:v>0.53681242799999995</c:v>
                </c:pt>
                <c:pt idx="7">
                  <c:v>0.50648669599999996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6A-42C2-8ACB-6D449835FD1B}"/>
            </c:ext>
          </c:extLst>
        </c:ser>
        <c:ser>
          <c:idx val="5"/>
          <c:order val="5"/>
          <c:tx>
            <c:strRef>
              <c:f>[1]Rural!$I$9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([1]Rural!$A$76:$A$78,[1]Rural!$A$76:$A$78,[1]Rural!$A$76:$A$78)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([1]Rural!$K$76:$K$81,[1]Rural!$I$76:$I$77)</c:f>
              <c:numCache>
                <c:formatCode>General</c:formatCode>
                <c:ptCount val="8"/>
                <c:pt idx="6">
                  <c:v>0.113019671</c:v>
                </c:pt>
                <c:pt idx="7">
                  <c:v>0.108606039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B6A-42C2-8ACB-6D449835F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61000"/>
        <c:axId val="500272760"/>
      </c:barChart>
      <c:catAx>
        <c:axId val="500261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00272760"/>
        <c:crosses val="autoZero"/>
        <c:auto val="1"/>
        <c:lblAlgn val="ctr"/>
        <c:lblOffset val="100"/>
        <c:noMultiLvlLbl val="0"/>
      </c:catAx>
      <c:valAx>
        <c:axId val="500272760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50026100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[1]Rural!$D$9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([1]Rural!$A$139,[1]Rural!$A$139,[1]Rural!$A$139)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[1]Rural!$D$139</c:f>
              <c:numCache>
                <c:formatCode>General</c:formatCode>
                <c:ptCount val="1"/>
                <c:pt idx="0">
                  <c:v>0.31989929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A1-40E9-9C87-9AF050C534F6}"/>
            </c:ext>
          </c:extLst>
        </c:ser>
        <c:ser>
          <c:idx val="3"/>
          <c:order val="1"/>
          <c:tx>
            <c:strRef>
              <c:f>[1]Rural!$E$9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([1]Rural!$A$139,[1]Rural!$A$139,[1]Rural!$A$139)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[1]Rural!$E$139</c:f>
              <c:numCache>
                <c:formatCode>General</c:formatCode>
                <c:ptCount val="1"/>
                <c:pt idx="0">
                  <c:v>8.4689819999999999E-2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A1-40E9-9C87-9AF050C534F6}"/>
            </c:ext>
          </c:extLst>
        </c:ser>
        <c:ser>
          <c:idx val="0"/>
          <c:order val="2"/>
          <c:tx>
            <c:strRef>
              <c:f>[1]Rural!$F$9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([1]Rural!$A$139,[1]Rural!$A$139,[1]Rural!$A$139)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([1]Rural!$F$140,[1]Rural!$F$139)</c:f>
              <c:numCache>
                <c:formatCode>General</c:formatCode>
                <c:ptCount val="2"/>
                <c:pt idx="1">
                  <c:v>0.112582315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A1-40E9-9C87-9AF050C534F6}"/>
            </c:ext>
          </c:extLst>
        </c:ser>
        <c:ser>
          <c:idx val="1"/>
          <c:order val="3"/>
          <c:tx>
            <c:strRef>
              <c:f>[1]Rural!$G$9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([1]Rural!$A$139,[1]Rural!$A$139,[1]Rural!$A$139)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([1]Rural!$G$140,[1]Rural!$G$139)</c:f>
              <c:numCache>
                <c:formatCode>General</c:formatCode>
                <c:ptCount val="2"/>
                <c:pt idx="1">
                  <c:v>0.29195044199999998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A1-40E9-9C87-9AF050C534F6}"/>
            </c:ext>
          </c:extLst>
        </c:ser>
        <c:ser>
          <c:idx val="4"/>
          <c:order val="4"/>
          <c:tx>
            <c:strRef>
              <c:f>[1]Rural!$H$9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([1]Rural!$A$139,[1]Rural!$A$139,[1]Rural!$A$139)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([1]Rural!$H$140:$H$141,[1]Rural!$H$139)</c:f>
              <c:numCache>
                <c:formatCode>General</c:formatCode>
                <c:ptCount val="3"/>
                <c:pt idx="2">
                  <c:v>0.32141275800000002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A1-40E9-9C87-9AF050C534F6}"/>
            </c:ext>
          </c:extLst>
        </c:ser>
        <c:ser>
          <c:idx val="5"/>
          <c:order val="5"/>
          <c:tx>
            <c:strRef>
              <c:f>[1]Rural!$I$9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([1]Rural!$A$139,[1]Rural!$A$139,[1]Rural!$A$139)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([1]Rural!$I$140:$I$141,[1]Rural!$I$139)</c:f>
              <c:numCache>
                <c:formatCode>General</c:formatCode>
                <c:ptCount val="3"/>
                <c:pt idx="2">
                  <c:v>8.3176350999999996E-2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A1-40E9-9C87-9AF050C53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62568"/>
        <c:axId val="500266096"/>
      </c:barChart>
      <c:catAx>
        <c:axId val="5002625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00266096"/>
        <c:crosses val="autoZero"/>
        <c:auto val="1"/>
        <c:lblAlgn val="ctr"/>
        <c:lblOffset val="100"/>
        <c:noMultiLvlLbl val="0"/>
      </c:catAx>
      <c:valAx>
        <c:axId val="500266096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5002625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[1]Rural!$D$9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([1]Rural!$A$10:$A$12,[1]Rural!$A$10:$A$12,[1]Rural!$A$10:$A$12)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[1]Rural!$D$10:$D$11</c:f>
              <c:numCache>
                <c:formatCode>General</c:formatCode>
                <c:ptCount val="2"/>
                <c:pt idx="0">
                  <c:v>0.44883261400000002</c:v>
                </c:pt>
                <c:pt idx="1">
                  <c:v>0.45046904100000001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1C-434A-96F1-E7DC46031C3E}"/>
            </c:ext>
          </c:extLst>
        </c:ser>
        <c:ser>
          <c:idx val="3"/>
          <c:order val="1"/>
          <c:tx>
            <c:strRef>
              <c:f>[1]Rural!$E$9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([1]Rural!$A$10:$A$12,[1]Rural!$A$10:$A$12,[1]Rural!$A$10:$A$12)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[1]Rural!$E$10:$E$11</c:f>
              <c:numCache>
                <c:formatCode>General</c:formatCode>
                <c:ptCount val="2"/>
                <c:pt idx="0">
                  <c:v>9.4968380000000005E-2</c:v>
                </c:pt>
                <c:pt idx="1">
                  <c:v>9.5110433999999994E-2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1C-434A-96F1-E7DC46031C3E}"/>
            </c:ext>
          </c:extLst>
        </c:ser>
        <c:ser>
          <c:idx val="0"/>
          <c:order val="2"/>
          <c:tx>
            <c:strRef>
              <c:f>[1]Rural!$F$9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([1]Rural!$A$10:$A$12,[1]Rural!$A$10:$A$12,[1]Rural!$A$10:$A$12)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([1]Rural!$N$16:$N$18,[1]Rural!$F$10:$F$11)</c:f>
              <c:numCache>
                <c:formatCode>General</c:formatCode>
                <c:ptCount val="5"/>
                <c:pt idx="3">
                  <c:v>0.19379732799999999</c:v>
                </c:pt>
                <c:pt idx="4">
                  <c:v>0.18990547099999999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1C-434A-96F1-E7DC46031C3E}"/>
            </c:ext>
          </c:extLst>
        </c:ser>
        <c:ser>
          <c:idx val="1"/>
          <c:order val="3"/>
          <c:tx>
            <c:strRef>
              <c:f>[1]Rural!$G$9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([1]Rural!$A$10:$A$12,[1]Rural!$A$10:$A$12,[1]Rural!$A$10:$A$12)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([1]Rural!$N$16:$N$18,[1]Rural!$G$10:$G$11)</c:f>
              <c:numCache>
                <c:formatCode>General</c:formatCode>
                <c:ptCount val="5"/>
                <c:pt idx="3">
                  <c:v>0.349991775</c:v>
                </c:pt>
                <c:pt idx="4">
                  <c:v>0.35567175200000001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1C-434A-96F1-E7DC46031C3E}"/>
            </c:ext>
          </c:extLst>
        </c:ser>
        <c:ser>
          <c:idx val="4"/>
          <c:order val="4"/>
          <c:tx>
            <c:strRef>
              <c:f>[1]Rural!$H$9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([1]Rural!$A$10:$A$12,[1]Rural!$A$10:$A$12,[1]Rural!$A$10:$A$12)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([1]Rural!$N$16:$N$21,[1]Rural!$H$10:$H$11)</c:f>
              <c:numCache>
                <c:formatCode>General</c:formatCode>
                <c:ptCount val="8"/>
                <c:pt idx="6">
                  <c:v>0.43867781500000003</c:v>
                </c:pt>
                <c:pt idx="7">
                  <c:v>0.43909895399999999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1C-434A-96F1-E7DC46031C3E}"/>
            </c:ext>
          </c:extLst>
        </c:ser>
        <c:ser>
          <c:idx val="5"/>
          <c:order val="5"/>
          <c:tx>
            <c:strRef>
              <c:f>[1]Rural!$I$9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([1]Rural!$A$10:$A$12,[1]Rural!$A$10:$A$12,[1]Rural!$A$10:$A$12)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([1]Rural!$N$16:$N$21,[1]Rural!$I$10:$I$11)</c:f>
              <c:numCache>
                <c:formatCode>General</c:formatCode>
                <c:ptCount val="8"/>
                <c:pt idx="6">
                  <c:v>0.105123179</c:v>
                </c:pt>
                <c:pt idx="7">
                  <c:v>0.10648052199999999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1C-434A-96F1-E7DC46031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'[2]Public Charter Schools'!$D$9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('[2]Public Charter Schools'!$A$43:$A$45,'[2]Public Charter Schools'!$A$43:$A$45,'[2]Public Charter Schools'!$A$43:$A$45)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'[2]Public Charter Schools'!$D$43:$D$44</c:f>
              <c:numCache>
                <c:formatCode>General</c:formatCode>
                <c:ptCount val="2"/>
                <c:pt idx="0">
                  <c:v>0.41899999999999998</c:v>
                </c:pt>
                <c:pt idx="1">
                  <c:v>0.41399999999999998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C-4E29-B7BA-FAEF7D2C133F}"/>
            </c:ext>
          </c:extLst>
        </c:ser>
        <c:ser>
          <c:idx val="3"/>
          <c:order val="1"/>
          <c:tx>
            <c:strRef>
              <c:f>'[2]Public Charter Schools'!$E$9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('[2]Public Charter Schools'!$A$43:$A$45,'[2]Public Charter Schools'!$A$43:$A$45,'[2]Public Charter Schools'!$A$43:$A$45)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'[2]Public Charter Schools'!$E$43:$E$44</c:f>
              <c:numCache>
                <c:formatCode>General</c:formatCode>
                <c:ptCount val="2"/>
                <c:pt idx="0">
                  <c:v>0.108</c:v>
                </c:pt>
                <c:pt idx="1">
                  <c:v>0.107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3C-4E29-B7BA-FAEF7D2C133F}"/>
            </c:ext>
          </c:extLst>
        </c:ser>
        <c:ser>
          <c:idx val="0"/>
          <c:order val="2"/>
          <c:tx>
            <c:strRef>
              <c:f>'[2]Public Charter Schools'!$F$9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('[2]Public Charter Schools'!$A$43:$A$45,'[2]Public Charter Schools'!$A$43:$A$45,'[2]Public Charter Schools'!$A$43:$A$45)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('[2]Public Charter Schools'!$N$16:$N$18,'[2]Public Charter Schools'!$F$43:$F$44)</c:f>
              <c:numCache>
                <c:formatCode>General</c:formatCode>
                <c:ptCount val="5"/>
                <c:pt idx="3">
                  <c:v>0.182</c:v>
                </c:pt>
                <c:pt idx="4">
                  <c:v>0.16900000000000001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3C-4E29-B7BA-FAEF7D2C133F}"/>
            </c:ext>
          </c:extLst>
        </c:ser>
        <c:ser>
          <c:idx val="1"/>
          <c:order val="3"/>
          <c:tx>
            <c:strRef>
              <c:f>'[2]Public Charter Schools'!$G$9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('[2]Public Charter Schools'!$A$43:$A$45,'[2]Public Charter Schools'!$A$43:$A$45,'[2]Public Charter Schools'!$A$43:$A$45)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('[2]Public Charter Schools'!$N$16:$N$18,'[2]Public Charter Schools'!$G$43:$G$44)</c:f>
              <c:numCache>
                <c:formatCode>General</c:formatCode>
                <c:ptCount val="5"/>
                <c:pt idx="3">
                  <c:v>0.34399999999999997</c:v>
                </c:pt>
                <c:pt idx="4">
                  <c:v>0.35199999999999998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3C-4E29-B7BA-FAEF7D2C133F}"/>
            </c:ext>
          </c:extLst>
        </c:ser>
        <c:ser>
          <c:idx val="4"/>
          <c:order val="4"/>
          <c:tx>
            <c:strRef>
              <c:f>'[2]Public Charter Schools'!$H$9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('[2]Public Charter Schools'!$A$43:$A$45,'[2]Public Charter Schools'!$A$43:$A$45,'[2]Public Charter Schools'!$A$43:$A$45)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('[2]Public Charter Schools'!$N$16:$N$21,'[2]Public Charter Schools'!$H$43:$H$44)</c:f>
              <c:numCache>
                <c:formatCode>General</c:formatCode>
                <c:ptCount val="8"/>
                <c:pt idx="6">
                  <c:v>0.44</c:v>
                </c:pt>
                <c:pt idx="7">
                  <c:v>0.42799999999999999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3C-4E29-B7BA-FAEF7D2C133F}"/>
            </c:ext>
          </c:extLst>
        </c:ser>
        <c:ser>
          <c:idx val="5"/>
          <c:order val="5"/>
          <c:tx>
            <c:strRef>
              <c:f>'[2]Public Charter Schools'!$I$9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('[2]Public Charter Schools'!$A$43:$A$45,'[2]Public Charter Schools'!$A$43:$A$45,'[2]Public Charter Schools'!$A$43:$A$45)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('[2]Public Charter Schools'!$N$16:$N$21,'[2]Public Charter Schools'!$I$43:$I$44)</c:f>
              <c:numCache>
                <c:formatCode>General</c:formatCode>
                <c:ptCount val="8"/>
                <c:pt idx="6">
                  <c:v>8.5999999999999993E-2</c:v>
                </c:pt>
                <c:pt idx="7">
                  <c:v>9.2999999999999999E-2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13C-4E29-B7BA-FAEF7D2C1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AAB3-4BDD-BF91-70193940ED45}"/>
              </c:ext>
            </c:extLst>
          </c:dPt>
          <c:dPt>
            <c:idx val="5"/>
            <c:invertIfNegative val="0"/>
            <c:bubble3D val="0"/>
            <c:spPr>
              <a:solidFill>
                <a:srgbClr val="3B64AD"/>
              </a:solidFill>
            </c:spPr>
            <c:extLst>
              <c:ext xmlns:c16="http://schemas.microsoft.com/office/drawing/2014/chart" uri="{C3380CC4-5D6E-409C-BE32-E72D297353CC}">
                <c16:uniqueId val="{00000001-AAB3-4BDD-BF91-70193940ED45}"/>
              </c:ext>
            </c:extLst>
          </c:dPt>
          <c:dPt>
            <c:idx val="6"/>
            <c:invertIfNegative val="0"/>
            <c:bubble3D val="0"/>
            <c:spPr>
              <a:solidFill>
                <a:srgbClr val="D26E2A"/>
              </a:solidFill>
            </c:spPr>
            <c:extLst>
              <c:ext xmlns:c16="http://schemas.microsoft.com/office/drawing/2014/chart" uri="{C3380CC4-5D6E-409C-BE32-E72D297353CC}">
                <c16:uniqueId val="{00000002-AAB3-4BDD-BF91-70193940ED45}"/>
              </c:ext>
            </c:extLst>
          </c:dPt>
          <c:dPt>
            <c:idx val="8"/>
            <c:invertIfNegative val="0"/>
            <c:bubble3D val="0"/>
            <c:spPr>
              <a:solidFill>
                <a:srgbClr val="5089BC"/>
              </a:solidFill>
            </c:spPr>
            <c:extLst>
              <c:ext xmlns:c16="http://schemas.microsoft.com/office/drawing/2014/chart" uri="{C3380CC4-5D6E-409C-BE32-E72D297353CC}">
                <c16:uniqueId val="{00000003-AAB3-4BDD-BF91-70193940ED45}"/>
              </c:ext>
            </c:extLst>
          </c:dPt>
          <c:dPt>
            <c:idx val="9"/>
            <c:invertIfNegative val="0"/>
            <c:bubble3D val="0"/>
            <c:spPr>
              <a:solidFill>
                <a:srgbClr val="62993E"/>
              </a:solidFill>
            </c:spPr>
            <c:extLst>
              <c:ext xmlns:c16="http://schemas.microsoft.com/office/drawing/2014/chart" uri="{C3380CC4-5D6E-409C-BE32-E72D297353CC}">
                <c16:uniqueId val="{00000004-AAB3-4BDD-BF91-70193940ED4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('[2]Public Charter Schools'!$C$107,'[2]Public Charter Schools'!$O$109,'[2]Public Charter Schools'!$D$107,'[2]Public Charter Schools'!$E$107,'[2]Public Charter Schools'!$O$110,'[2]Public Charter Schools'!$F$107,'[2]Public Charter Schools'!$G$107,'[2]Public Charter Schools'!$O$111,'[2]Public Charter Schools'!$H$107,'[2]Public Charter Schools'!$I$107)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('[2]Public Charter Schools'!$C$108,'[2]Public Charter Schools'!$O$109,'[2]Public Charter Schools'!$D$108,'[2]Public Charter Schools'!$E$108,'[2]Public Charter Schools'!$O$109,'[2]Public Charter Schools'!$F$108,'[2]Public Charter Schools'!$G$108,'[2]Public Charter Schools'!$O$110,'[2]Public Charter Schools'!$H$108,'[2]Public Charter Schools'!$I$108)</c:f>
              <c:numCache>
                <c:formatCode>General</c:formatCode>
                <c:ptCount val="10"/>
                <c:pt idx="0">
                  <c:v>0.76400000000000001</c:v>
                </c:pt>
                <c:pt idx="2">
                  <c:v>0.754</c:v>
                </c:pt>
                <c:pt idx="3">
                  <c:v>0.80600000000000005</c:v>
                </c:pt>
                <c:pt idx="5">
                  <c:v>0.65800000000000003</c:v>
                </c:pt>
                <c:pt idx="6">
                  <c:v>0.82099999999999995</c:v>
                </c:pt>
                <c:pt idx="8">
                  <c:v>0.754</c:v>
                </c:pt>
                <c:pt idx="9">
                  <c:v>0.81499999999999995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4D9-430F-9A1D-0585AA1DF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00267664"/>
        <c:axId val="500265312"/>
      </c:barChart>
      <c:catAx>
        <c:axId val="50026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00265312"/>
        <c:crosses val="autoZero"/>
        <c:auto val="1"/>
        <c:lblAlgn val="ctr"/>
        <c:lblOffset val="100"/>
        <c:noMultiLvlLbl val="0"/>
      </c:catAx>
      <c:valAx>
        <c:axId val="500265312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500267664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'[2]Public Charter Schools'!$D$9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('[2]Public Charter Schools'!$A$76:$A$78,'[2]Public Charter Schools'!$A$76:$A$78,'[2]Public Charter Schools'!$A$76:$A$78)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'[2]Public Charter Schools'!$D$76:$D$77</c:f>
              <c:numCache>
                <c:formatCode>General</c:formatCode>
                <c:ptCount val="2"/>
                <c:pt idx="0">
                  <c:v>0.47899999999999998</c:v>
                </c:pt>
                <c:pt idx="1">
                  <c:v>0.45500000000000002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E0-4044-91EB-48DBDA42314F}"/>
            </c:ext>
          </c:extLst>
        </c:ser>
        <c:ser>
          <c:idx val="3"/>
          <c:order val="1"/>
          <c:tx>
            <c:strRef>
              <c:f>'[2]Public Charter Schools'!$E$9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('[2]Public Charter Schools'!$A$76:$A$78,'[2]Public Charter Schools'!$A$76:$A$78,'[2]Public Charter Schools'!$A$76:$A$78)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'[2]Public Charter Schools'!$E$76:$E$77</c:f>
              <c:numCache>
                <c:formatCode>General</c:formatCode>
                <c:ptCount val="2"/>
                <c:pt idx="0">
                  <c:v>0.11</c:v>
                </c:pt>
                <c:pt idx="1">
                  <c:v>0.11600000000000001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E0-4044-91EB-48DBDA42314F}"/>
            </c:ext>
          </c:extLst>
        </c:ser>
        <c:ser>
          <c:idx val="0"/>
          <c:order val="2"/>
          <c:tx>
            <c:strRef>
              <c:f>'[2]Public Charter Schools'!$F$9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('[2]Public Charter Schools'!$A$76:$A$78,'[2]Public Charter Schools'!$A$76:$A$78,'[2]Public Charter Schools'!$A$76:$A$78)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('[2]Public Charter Schools'!$K$76:$K$78,'[2]Public Charter Schools'!$F$76:$F$77)</c:f>
              <c:numCache>
                <c:formatCode>General</c:formatCode>
                <c:ptCount val="5"/>
                <c:pt idx="3">
                  <c:v>0.23400000000000001</c:v>
                </c:pt>
                <c:pt idx="4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E0-4044-91EB-48DBDA42314F}"/>
            </c:ext>
          </c:extLst>
        </c:ser>
        <c:ser>
          <c:idx val="1"/>
          <c:order val="3"/>
          <c:tx>
            <c:strRef>
              <c:f>'[2]Public Charter Schools'!$G$9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('[2]Public Charter Schools'!$A$76:$A$78,'[2]Public Charter Schools'!$A$76:$A$78,'[2]Public Charter Schools'!$A$76:$A$78)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('[2]Public Charter Schools'!$K$76:$K$78,'[2]Public Charter Schools'!$G$76:$G$77)</c:f>
              <c:numCache>
                <c:formatCode>General</c:formatCode>
                <c:ptCount val="5"/>
                <c:pt idx="3">
                  <c:v>0.35499999999999998</c:v>
                </c:pt>
                <c:pt idx="4">
                  <c:v>0.36099999999999999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E0-4044-91EB-48DBDA42314F}"/>
            </c:ext>
          </c:extLst>
        </c:ser>
        <c:ser>
          <c:idx val="4"/>
          <c:order val="4"/>
          <c:tx>
            <c:strRef>
              <c:f>'[2]Public Charter Schools'!$H$9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('[2]Public Charter Schools'!$A$76:$A$78,'[2]Public Charter Schools'!$A$76:$A$78,'[2]Public Charter Schools'!$A$76:$A$78)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('[2]Public Charter Schools'!$K$76:$K$81,'[2]Public Charter Schools'!$H$76:$H$77)</c:f>
              <c:numCache>
                <c:formatCode>General</c:formatCode>
                <c:ptCount val="8"/>
                <c:pt idx="6">
                  <c:v>0.49399999999999999</c:v>
                </c:pt>
                <c:pt idx="7">
                  <c:v>0.47499999999999998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E0-4044-91EB-48DBDA42314F}"/>
            </c:ext>
          </c:extLst>
        </c:ser>
        <c:ser>
          <c:idx val="5"/>
          <c:order val="5"/>
          <c:tx>
            <c:strRef>
              <c:f>'[2]Public Charter Schools'!$I$9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('[2]Public Charter Schools'!$A$76:$A$78,'[2]Public Charter Schools'!$A$76:$A$78,'[2]Public Charter Schools'!$A$76:$A$78)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('[2]Public Charter Schools'!$K$76:$K$81,'[2]Public Charter Schools'!$I$76:$I$77)</c:f>
              <c:numCache>
                <c:formatCode>General</c:formatCode>
                <c:ptCount val="8"/>
                <c:pt idx="6">
                  <c:v>9.5000000000000001E-2</c:v>
                </c:pt>
                <c:pt idx="7">
                  <c:v>9.6000000000000002E-2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E0-4044-91EB-48DBDA423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61000"/>
        <c:axId val="500272760"/>
      </c:barChart>
      <c:catAx>
        <c:axId val="500261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00272760"/>
        <c:crosses val="autoZero"/>
        <c:auto val="1"/>
        <c:lblAlgn val="ctr"/>
        <c:lblOffset val="100"/>
        <c:noMultiLvlLbl val="0"/>
      </c:catAx>
      <c:valAx>
        <c:axId val="500272760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50026100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'[2]Public Charter Schools'!$D$9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('[2]Public Charter Schools'!$A$139,'[2]Public Charter Schools'!$A$139,'[2]Public Charter Schools'!$A$139)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'[2]Public Charter Schools'!$D$139</c:f>
              <c:numCache>
                <c:formatCode>General</c:formatCode>
                <c:ptCount val="1"/>
                <c:pt idx="0">
                  <c:v>0.23400000000000001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68-4C67-AA0A-BA1F987124C9}"/>
            </c:ext>
          </c:extLst>
        </c:ser>
        <c:ser>
          <c:idx val="3"/>
          <c:order val="1"/>
          <c:tx>
            <c:strRef>
              <c:f>'[2]Public Charter Schools'!$E$9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('[2]Public Charter Schools'!$A$139,'[2]Public Charter Schools'!$A$139,'[2]Public Charter Schools'!$A$139)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'[2]Public Charter Schools'!$E$139</c:f>
              <c:numCache>
                <c:formatCode>General</c:formatCode>
                <c:ptCount val="1"/>
                <c:pt idx="0">
                  <c:v>7.2999999999999995E-2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68-4C67-AA0A-BA1F987124C9}"/>
            </c:ext>
          </c:extLst>
        </c:ser>
        <c:ser>
          <c:idx val="0"/>
          <c:order val="2"/>
          <c:tx>
            <c:strRef>
              <c:f>'[2]Public Charter Schools'!$F$9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('[2]Public Charter Schools'!$A$139,'[2]Public Charter Schools'!$A$139,'[2]Public Charter Schools'!$A$139)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('[2]Public Charter Schools'!$F$140,'[2]Public Charter Schools'!$F$139)</c:f>
              <c:numCache>
                <c:formatCode>General</c:formatCode>
                <c:ptCount val="2"/>
                <c:pt idx="1">
                  <c:v>7.2999999999999995E-2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68-4C67-AA0A-BA1F987124C9}"/>
            </c:ext>
          </c:extLst>
        </c:ser>
        <c:ser>
          <c:idx val="1"/>
          <c:order val="3"/>
          <c:tx>
            <c:strRef>
              <c:f>'[2]Public Charter Schools'!$G$9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('[2]Public Charter Schools'!$A$139,'[2]Public Charter Schools'!$A$139,'[2]Public Charter Schools'!$A$139)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('[2]Public Charter Schools'!$G$140,'[2]Public Charter Schools'!$G$139)</c:f>
              <c:numCache>
                <c:formatCode>General</c:formatCode>
                <c:ptCount val="2"/>
                <c:pt idx="1">
                  <c:v>0.23400000000000001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68-4C67-AA0A-BA1F987124C9}"/>
            </c:ext>
          </c:extLst>
        </c:ser>
        <c:ser>
          <c:idx val="4"/>
          <c:order val="4"/>
          <c:tx>
            <c:strRef>
              <c:f>'[2]Public Charter Schools'!$H$9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('[2]Public Charter Schools'!$A$139,'[2]Public Charter Schools'!$A$139,'[2]Public Charter Schools'!$A$139)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('[2]Public Charter Schools'!$H$140:$H$141,'[2]Public Charter Schools'!$H$139)</c:f>
              <c:numCache>
                <c:formatCode>General</c:formatCode>
                <c:ptCount val="3"/>
                <c:pt idx="2">
                  <c:v>0.247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68-4C67-AA0A-BA1F987124C9}"/>
            </c:ext>
          </c:extLst>
        </c:ser>
        <c:ser>
          <c:idx val="5"/>
          <c:order val="5"/>
          <c:tx>
            <c:strRef>
              <c:f>'[2]Public Charter Schools'!$I$9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('[2]Public Charter Schools'!$A$139,'[2]Public Charter Schools'!$A$139,'[2]Public Charter Schools'!$A$139)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('[2]Public Charter Schools'!$I$140:$I$141,'[2]Public Charter Schools'!$I$139)</c:f>
              <c:numCache>
                <c:formatCode>General</c:formatCode>
                <c:ptCount val="3"/>
                <c:pt idx="2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768-4C67-AA0A-BA1F98712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62568"/>
        <c:axId val="500266096"/>
      </c:barChart>
      <c:catAx>
        <c:axId val="5002625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00266096"/>
        <c:crosses val="autoZero"/>
        <c:auto val="1"/>
        <c:lblAlgn val="ctr"/>
        <c:lblOffset val="100"/>
        <c:noMultiLvlLbl val="0"/>
      </c:catAx>
      <c:valAx>
        <c:axId val="500266096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5002625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'[1]High Poverty'!$D$9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('[1]High Poverty'!$A$10:$A$12,'[1]High Poverty'!$A$10:$A$12,'[1]High Poverty'!$A$10:$A$12)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'[1]High Poverty'!$D$10:$D$11</c:f>
              <c:numCache>
                <c:formatCode>General</c:formatCode>
                <c:ptCount val="2"/>
                <c:pt idx="0">
                  <c:v>0.42099999999999999</c:v>
                </c:pt>
                <c:pt idx="1">
                  <c:v>0.443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F-42B8-AD7D-3FAB2B23203F}"/>
            </c:ext>
          </c:extLst>
        </c:ser>
        <c:ser>
          <c:idx val="3"/>
          <c:order val="1"/>
          <c:tx>
            <c:strRef>
              <c:f>'[1]High Poverty'!$E$9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('[1]High Poverty'!$A$10:$A$12,'[1]High Poverty'!$A$10:$A$12,'[1]High Poverty'!$A$10:$A$12)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'[1]High Poverty'!$E$10:$E$11</c:f>
              <c:numCache>
                <c:formatCode>General</c:formatCode>
                <c:ptCount val="2"/>
                <c:pt idx="0">
                  <c:v>5.1999999999999998E-2</c:v>
                </c:pt>
                <c:pt idx="1">
                  <c:v>5.7000000000000002E-2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F-42B8-AD7D-3FAB2B23203F}"/>
            </c:ext>
          </c:extLst>
        </c:ser>
        <c:ser>
          <c:idx val="0"/>
          <c:order val="2"/>
          <c:tx>
            <c:strRef>
              <c:f>'[1]High Poverty'!$F$9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('[1]High Poverty'!$A$10:$A$12,'[1]High Poverty'!$A$10:$A$12,'[1]High Poverty'!$A$10:$A$12)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('[1]High Poverty'!$N$16:$N$18,'[1]High Poverty'!$F$10:$F$11)</c:f>
              <c:numCache>
                <c:formatCode>General</c:formatCode>
                <c:ptCount val="5"/>
                <c:pt idx="3">
                  <c:v>0.21199999999999999</c:v>
                </c:pt>
                <c:pt idx="4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FF-42B8-AD7D-3FAB2B23203F}"/>
            </c:ext>
          </c:extLst>
        </c:ser>
        <c:ser>
          <c:idx val="1"/>
          <c:order val="3"/>
          <c:tx>
            <c:strRef>
              <c:f>'[1]High Poverty'!$G$9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('[1]High Poverty'!$A$10:$A$12,'[1]High Poverty'!$A$10:$A$12,'[1]High Poverty'!$A$10:$A$12)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('[1]High Poverty'!$N$16:$N$18,'[1]High Poverty'!$G$10:$G$11)</c:f>
              <c:numCache>
                <c:formatCode>General</c:formatCode>
                <c:ptCount val="5"/>
                <c:pt idx="3">
                  <c:v>0.26</c:v>
                </c:pt>
                <c:pt idx="4">
                  <c:v>0.26900000000000002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FF-42B8-AD7D-3FAB2B23203F}"/>
            </c:ext>
          </c:extLst>
        </c:ser>
        <c:ser>
          <c:idx val="4"/>
          <c:order val="4"/>
          <c:tx>
            <c:strRef>
              <c:f>'[1]High Poverty'!$H$9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('[1]High Poverty'!$A$10:$A$12,'[1]High Poverty'!$A$10:$A$12,'[1]High Poverty'!$A$10:$A$12)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('[1]High Poverty'!$N$16:$N$21,'[1]High Poverty'!$H$10:$H$11)</c:f>
              <c:numCache>
                <c:formatCode>General</c:formatCode>
                <c:ptCount val="8"/>
                <c:pt idx="6">
                  <c:v>0.43099999999999999</c:v>
                </c:pt>
                <c:pt idx="7">
                  <c:v>0.46100000000000002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FF-42B8-AD7D-3FAB2B23203F}"/>
            </c:ext>
          </c:extLst>
        </c:ser>
        <c:ser>
          <c:idx val="5"/>
          <c:order val="5"/>
          <c:tx>
            <c:strRef>
              <c:f>'[1]High Poverty'!$I$9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('[1]High Poverty'!$A$10:$A$12,'[1]High Poverty'!$A$10:$A$12,'[1]High Poverty'!$A$10:$A$12)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('[1]High Poverty'!$N$16:$N$21,'[1]High Poverty'!$I$10:$I$11)</c:f>
              <c:numCache>
                <c:formatCode>General</c:formatCode>
                <c:ptCount val="8"/>
                <c:pt idx="6">
                  <c:v>4.2000000000000003E-2</c:v>
                </c:pt>
                <c:pt idx="7">
                  <c:v>3.7999999999999999E-2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FFF-42B8-AD7D-3FAB2B232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'[2]Public Charter Schools'!$D$9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('[2]Public Charter Schools'!$A$10:$A$12,'[2]Public Charter Schools'!$A$10:$A$12,'[2]Public Charter Schools'!$A$10:$A$12)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'[2]Public Charter Schools'!$D$10:$D$11</c:f>
              <c:numCache>
                <c:formatCode>General</c:formatCode>
                <c:ptCount val="2"/>
                <c:pt idx="0">
                  <c:v>0.38400000000000001</c:v>
                </c:pt>
                <c:pt idx="1">
                  <c:v>0.38200000000000001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C0-4E4A-A6A7-5361300E0AF0}"/>
            </c:ext>
          </c:extLst>
        </c:ser>
        <c:ser>
          <c:idx val="3"/>
          <c:order val="1"/>
          <c:tx>
            <c:strRef>
              <c:f>'[2]Public Charter Schools'!$E$9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('[2]Public Charter Schools'!$A$10:$A$12,'[2]Public Charter Schools'!$A$10:$A$12,'[2]Public Charter Schools'!$A$10:$A$12)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'[2]Public Charter Schools'!$E$10:$E$11</c:f>
              <c:numCache>
                <c:formatCode>General</c:formatCode>
                <c:ptCount val="2"/>
                <c:pt idx="0">
                  <c:v>0.1</c:v>
                </c:pt>
                <c:pt idx="1">
                  <c:v>0.10199999999999999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C0-4E4A-A6A7-5361300E0AF0}"/>
            </c:ext>
          </c:extLst>
        </c:ser>
        <c:ser>
          <c:idx val="0"/>
          <c:order val="2"/>
          <c:tx>
            <c:strRef>
              <c:f>'[2]Public Charter Schools'!$F$9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('[2]Public Charter Schools'!$A$10:$A$12,'[2]Public Charter Schools'!$A$10:$A$12,'[2]Public Charter Schools'!$A$10:$A$12)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('[2]Public Charter Schools'!$N$16:$N$18,'[2]Public Charter Schools'!$F$10:$F$11)</c:f>
              <c:numCache>
                <c:formatCode>General</c:formatCode>
                <c:ptCount val="5"/>
                <c:pt idx="3">
                  <c:v>0.14899999999999999</c:v>
                </c:pt>
                <c:pt idx="4">
                  <c:v>0.14799999999999999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C0-4E4A-A6A7-5361300E0AF0}"/>
            </c:ext>
          </c:extLst>
        </c:ser>
        <c:ser>
          <c:idx val="1"/>
          <c:order val="3"/>
          <c:tx>
            <c:strRef>
              <c:f>'[2]Public Charter Schools'!$G$9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('[2]Public Charter Schools'!$A$10:$A$12,'[2]Public Charter Schools'!$A$10:$A$12,'[2]Public Charter Schools'!$A$10:$A$12)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('[2]Public Charter Schools'!$N$16:$N$18,'[2]Public Charter Schools'!$G$10:$G$11)</c:f>
              <c:numCache>
                <c:formatCode>General</c:formatCode>
                <c:ptCount val="5"/>
                <c:pt idx="3">
                  <c:v>0.33400000000000002</c:v>
                </c:pt>
                <c:pt idx="4">
                  <c:v>0.33700000000000002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C0-4E4A-A6A7-5361300E0AF0}"/>
            </c:ext>
          </c:extLst>
        </c:ser>
        <c:ser>
          <c:idx val="4"/>
          <c:order val="4"/>
          <c:tx>
            <c:strRef>
              <c:f>'[2]Public Charter Schools'!$H$9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('[2]Public Charter Schools'!$A$10:$A$12,'[2]Public Charter Schools'!$A$10:$A$12,'[2]Public Charter Schools'!$A$10:$A$12)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('[2]Public Charter Schools'!$N$16:$N$21,'[2]Public Charter Schools'!$H$10:$H$11)</c:f>
              <c:numCache>
                <c:formatCode>General</c:formatCode>
                <c:ptCount val="8"/>
                <c:pt idx="6">
                  <c:v>0.39800000000000002</c:v>
                </c:pt>
                <c:pt idx="7">
                  <c:v>0.40400000000000003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C0-4E4A-A6A7-5361300E0AF0}"/>
            </c:ext>
          </c:extLst>
        </c:ser>
        <c:ser>
          <c:idx val="5"/>
          <c:order val="5"/>
          <c:tx>
            <c:strRef>
              <c:f>'[2]Public Charter Schools'!$I$9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('[2]Public Charter Schools'!$A$10:$A$12,'[2]Public Charter Schools'!$A$10:$A$12,'[2]Public Charter Schools'!$A$10:$A$12)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3">
                  <c:v>2021</c:v>
                </c:pt>
                <c:pt idx="4">
                  <c:v>2022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('[2]Public Charter Schools'!$N$16:$N$21,'[2]Public Charter Schools'!$I$10:$I$11)</c:f>
              <c:numCache>
                <c:formatCode>General</c:formatCode>
                <c:ptCount val="8"/>
                <c:pt idx="6">
                  <c:v>8.5999999999999993E-2</c:v>
                </c:pt>
                <c:pt idx="7">
                  <c:v>8.1000000000000003E-2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C0-4E4A-A6A7-5361300E0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'[3]Private Schools'!$D$9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257-41F9-98A4-3F2C5B7F58F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('[3]Private Schools'!$A$21:$A$23,'[3]Private Schools'!$A$21:$A$23,'[3]Private Schools'!$A$21:$A$23)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'[3]Private Schools'!$D$21:$D$22</c:f>
              <c:numCache>
                <c:formatCode>General</c:formatCode>
                <c:ptCount val="2"/>
                <c:pt idx="0">
                  <c:v>0.500578521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57-41F9-98A4-3F2C5B7F58F3}"/>
            </c:ext>
          </c:extLst>
        </c:ser>
        <c:ser>
          <c:idx val="3"/>
          <c:order val="1"/>
          <c:tx>
            <c:strRef>
              <c:f>'[3]Private Schools'!$E$9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257-41F9-98A4-3F2C5B7F58F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('[3]Private Schools'!$A$21:$A$23,'[3]Private Schools'!$A$21:$A$23,'[3]Private Schools'!$A$21:$A$23)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'[3]Private Schools'!$E$21:$E$22</c:f>
              <c:numCache>
                <c:formatCode>General</c:formatCode>
                <c:ptCount val="2"/>
                <c:pt idx="0">
                  <c:v>0.35500157799999998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57-41F9-98A4-3F2C5B7F58F3}"/>
            </c:ext>
          </c:extLst>
        </c:ser>
        <c:ser>
          <c:idx val="0"/>
          <c:order val="2"/>
          <c:tx>
            <c:strRef>
              <c:f>'[3]Private Schools'!$F$9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('[3]Private Schools'!$A$21:$A$23,'[3]Private Schools'!$A$21:$A$23,'[3]Private Schools'!$A$21:$A$23)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('[3]Private Schools'!$N$15:$N$17,'[3]Private Schools'!$F$21:$F$22)</c:f>
              <c:numCache>
                <c:formatCode>General</c:formatCode>
                <c:ptCount val="5"/>
                <c:pt idx="3">
                  <c:v>8.4639388999999995E-2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57-41F9-98A4-3F2C5B7F58F3}"/>
            </c:ext>
          </c:extLst>
        </c:ser>
        <c:ser>
          <c:idx val="1"/>
          <c:order val="3"/>
          <c:tx>
            <c:strRef>
              <c:f>'[3]Private Schools'!$G$9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('[3]Private Schools'!$A$21:$A$23,'[3]Private Schools'!$A$21:$A$23,'[3]Private Schools'!$A$21:$A$23)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('[3]Private Schools'!$N$15:$N$17,'[3]Private Schools'!$G$21:$G$22)</c:f>
              <c:numCache>
                <c:formatCode>General</c:formatCode>
                <c:ptCount val="5"/>
                <c:pt idx="3">
                  <c:v>0.77083552499999997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57-41F9-98A4-3F2C5B7F58F3}"/>
            </c:ext>
          </c:extLst>
        </c:ser>
        <c:ser>
          <c:idx val="4"/>
          <c:order val="4"/>
          <c:tx>
            <c:strRef>
              <c:f>'[3]Private Schools'!$H$9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('[3]Private Schools'!$A$21:$A$23,'[3]Private Schools'!$A$21:$A$23,'[3]Private Schools'!$A$21:$A$23)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('[3]Private Schools'!$N$15:$N$20,'[3]Private Schools'!$H$21:$H$22)</c:f>
              <c:numCache>
                <c:formatCode>General</c:formatCode>
                <c:ptCount val="8"/>
                <c:pt idx="6">
                  <c:v>0.517022545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57-41F9-98A4-3F2C5B7F58F3}"/>
            </c:ext>
          </c:extLst>
        </c:ser>
        <c:ser>
          <c:idx val="5"/>
          <c:order val="5"/>
          <c:tx>
            <c:strRef>
              <c:f>'[3]Private Schools'!$I$9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('[3]Private Schools'!$A$21:$A$23,'[3]Private Schools'!$A$21:$A$23,'[3]Private Schools'!$A$21:$A$23)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('[3]Private Schools'!$N$15:$N$20,'[3]Private Schools'!$I$21:$I$22)</c:f>
              <c:numCache>
                <c:formatCode>General</c:formatCode>
                <c:ptCount val="8"/>
                <c:pt idx="6">
                  <c:v>0.33855755399999998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57-41F9-98A4-3F2C5B7F5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5B77-4912-83FA-6DE3C0E5CFEB}"/>
              </c:ext>
            </c:extLst>
          </c:dPt>
          <c:dPt>
            <c:idx val="5"/>
            <c:invertIfNegative val="0"/>
            <c:bubble3D val="0"/>
            <c:spPr>
              <a:solidFill>
                <a:srgbClr val="3B64AD"/>
              </a:solidFill>
            </c:spPr>
            <c:extLst>
              <c:ext xmlns:c16="http://schemas.microsoft.com/office/drawing/2014/chart" uri="{C3380CC4-5D6E-409C-BE32-E72D297353CC}">
                <c16:uniqueId val="{00000001-5B77-4912-83FA-6DE3C0E5CFEB}"/>
              </c:ext>
            </c:extLst>
          </c:dPt>
          <c:dPt>
            <c:idx val="6"/>
            <c:invertIfNegative val="0"/>
            <c:bubble3D val="0"/>
            <c:spPr>
              <a:solidFill>
                <a:srgbClr val="D26E2A"/>
              </a:solidFill>
            </c:spPr>
            <c:extLst>
              <c:ext xmlns:c16="http://schemas.microsoft.com/office/drawing/2014/chart" uri="{C3380CC4-5D6E-409C-BE32-E72D297353CC}">
                <c16:uniqueId val="{00000002-5B77-4912-83FA-6DE3C0E5CFEB}"/>
              </c:ext>
            </c:extLst>
          </c:dPt>
          <c:dPt>
            <c:idx val="8"/>
            <c:invertIfNegative val="0"/>
            <c:bubble3D val="0"/>
            <c:spPr>
              <a:solidFill>
                <a:srgbClr val="5089BC"/>
              </a:solidFill>
            </c:spPr>
            <c:extLst>
              <c:ext xmlns:c16="http://schemas.microsoft.com/office/drawing/2014/chart" uri="{C3380CC4-5D6E-409C-BE32-E72D297353CC}">
                <c16:uniqueId val="{00000003-5B77-4912-83FA-6DE3C0E5CFEB}"/>
              </c:ext>
            </c:extLst>
          </c:dPt>
          <c:dPt>
            <c:idx val="9"/>
            <c:invertIfNegative val="0"/>
            <c:bubble3D val="0"/>
            <c:spPr>
              <a:solidFill>
                <a:srgbClr val="62993E"/>
              </a:solidFill>
            </c:spPr>
            <c:extLst>
              <c:ext xmlns:c16="http://schemas.microsoft.com/office/drawing/2014/chart" uri="{C3380CC4-5D6E-409C-BE32-E72D297353CC}">
                <c16:uniqueId val="{00000004-5B77-4912-83FA-6DE3C0E5CFEB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('[3]Private Schools'!$C$85,'[3]Private Schools'!$O$108,'[3]Private Schools'!$D$85,'[3]Private Schools'!$E$85,'[3]Private Schools'!$O$109,'[3]Private Schools'!$F$85,'[3]Private Schools'!$G$85,'[3]Private Schools'!$O$110,'[3]Private Schools'!$H$85,'[3]Private Schools'!$I$85)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('[3]Private Schools'!$C$86,'[3]Private Schools'!$O$108,'[3]Private Schools'!$D$86,'[3]Private Schools'!$E$86,'[3]Private Schools'!$O$108,'[3]Private Schools'!$F$86,'[3]Private Schools'!$G$86,'[3]Private Schools'!$O$109,'[3]Private Schools'!$H$86,'[3]Private Schools'!$I$86)</c:f>
              <c:numCache>
                <c:formatCode>General</c:formatCode>
                <c:ptCount val="10"/>
                <c:pt idx="0">
                  <c:v>0.91963773500000001</c:v>
                </c:pt>
                <c:pt idx="2">
                  <c:v>0.90144988400000003</c:v>
                </c:pt>
                <c:pt idx="3">
                  <c:v>0.94528395099999996</c:v>
                </c:pt>
                <c:pt idx="5">
                  <c:v>0.74067936999999995</c:v>
                </c:pt>
                <c:pt idx="6">
                  <c:v>0.93941323600000004</c:v>
                </c:pt>
                <c:pt idx="8">
                  <c:v>0.89685338400000003</c:v>
                </c:pt>
                <c:pt idx="9">
                  <c:v>0.954432477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5B1-4C9F-A73D-FB6212C38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00267664"/>
        <c:axId val="500265312"/>
      </c:barChart>
      <c:catAx>
        <c:axId val="50026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00265312"/>
        <c:crosses val="autoZero"/>
        <c:auto val="1"/>
        <c:lblAlgn val="ctr"/>
        <c:lblOffset val="100"/>
        <c:noMultiLvlLbl val="0"/>
      </c:catAx>
      <c:valAx>
        <c:axId val="500265312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500267664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'[3]Private Schools'!$D$9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('[3]Private Schools'!$A$54:$A$56,'[3]Private Schools'!$A$54:$A$56,'[3]Private Schools'!$A$54:$A$56)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'[3]Private Schools'!$D$54:$D$55</c:f>
              <c:numCache>
                <c:formatCode>General</c:formatCode>
                <c:ptCount val="2"/>
                <c:pt idx="0">
                  <c:v>0.51846327000000003</c:v>
                </c:pt>
                <c:pt idx="1">
                  <c:v>0.51597068800000001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56-46BB-9B09-121B611B654D}"/>
            </c:ext>
          </c:extLst>
        </c:ser>
        <c:ser>
          <c:idx val="3"/>
          <c:order val="1"/>
          <c:tx>
            <c:strRef>
              <c:f>'[3]Private Schools'!$E$9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('[3]Private Schools'!$A$54:$A$56,'[3]Private Schools'!$A$54:$A$56,'[3]Private Schools'!$A$54:$A$56)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'[3]Private Schools'!$E$54:$E$55</c:f>
              <c:numCache>
                <c:formatCode>General</c:formatCode>
                <c:ptCount val="2"/>
                <c:pt idx="0">
                  <c:v>0.384323107</c:v>
                </c:pt>
                <c:pt idx="1">
                  <c:v>0.36541495699999998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56-46BB-9B09-121B611B654D}"/>
            </c:ext>
          </c:extLst>
        </c:ser>
        <c:ser>
          <c:idx val="0"/>
          <c:order val="2"/>
          <c:tx>
            <c:strRef>
              <c:f>'[3]Private Schools'!$F$9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('[3]Private Schools'!$A$54:$A$56,'[3]Private Schools'!$A$54:$A$56,'[3]Private Schools'!$A$54:$A$56)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('[3]Private Schools'!$K$75:$K$77,'[3]Private Schools'!$F$54:$F$55)</c:f>
              <c:numCache>
                <c:formatCode>General</c:formatCode>
                <c:ptCount val="5"/>
                <c:pt idx="3">
                  <c:v>8.3732056999999999E-2</c:v>
                </c:pt>
                <c:pt idx="4">
                  <c:v>9.2142632000000002E-2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56-46BB-9B09-121B611B654D}"/>
            </c:ext>
          </c:extLst>
        </c:ser>
        <c:ser>
          <c:idx val="1"/>
          <c:order val="3"/>
          <c:tx>
            <c:strRef>
              <c:f>'[3]Private Schools'!$G$9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('[3]Private Schools'!$A$54:$A$56,'[3]Private Schools'!$A$54:$A$56,'[3]Private Schools'!$A$54:$A$56)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('[3]Private Schools'!$K$75:$K$77,'[3]Private Schools'!$G$54:$G$55)</c:f>
              <c:numCache>
                <c:formatCode>General</c:formatCode>
                <c:ptCount val="5"/>
                <c:pt idx="3">
                  <c:v>0.81902617499999997</c:v>
                </c:pt>
                <c:pt idx="4">
                  <c:v>0.78910276599999996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56-46BB-9B09-121B611B654D}"/>
            </c:ext>
          </c:extLst>
        </c:ser>
        <c:ser>
          <c:idx val="4"/>
          <c:order val="4"/>
          <c:tx>
            <c:strRef>
              <c:f>'[3]Private Schools'!$H$9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('[3]Private Schools'!$A$54:$A$56,'[3]Private Schools'!$A$54:$A$56,'[3]Private Schools'!$A$54:$A$56)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('[3]Private Schools'!$K$75:$K$80,'[3]Private Schools'!$H$54:$H$55)</c:f>
              <c:numCache>
                <c:formatCode>General</c:formatCode>
                <c:ptCount val="8"/>
                <c:pt idx="6">
                  <c:v>0.52426118799999999</c:v>
                </c:pt>
                <c:pt idx="7">
                  <c:v>0.530170751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56-46BB-9B09-121B611B654D}"/>
            </c:ext>
          </c:extLst>
        </c:ser>
        <c:ser>
          <c:idx val="5"/>
          <c:order val="5"/>
          <c:tx>
            <c:strRef>
              <c:f>'[3]Private Schools'!$I$9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('[3]Private Schools'!$A$54:$A$56,'[3]Private Schools'!$A$54:$A$56,'[3]Private Schools'!$A$54:$A$56)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('[3]Private Schools'!$K$75:$K$80,'[3]Private Schools'!$I$54:$I$55)</c:f>
              <c:numCache>
                <c:formatCode>General</c:formatCode>
                <c:ptCount val="8"/>
                <c:pt idx="6">
                  <c:v>0.37852519000000001</c:v>
                </c:pt>
                <c:pt idx="7">
                  <c:v>0.351214894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E56-46BB-9B09-121B611B6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61000"/>
        <c:axId val="500272760"/>
      </c:barChart>
      <c:catAx>
        <c:axId val="500261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00272760"/>
        <c:crosses val="autoZero"/>
        <c:auto val="1"/>
        <c:lblAlgn val="ctr"/>
        <c:lblOffset val="100"/>
        <c:noMultiLvlLbl val="0"/>
      </c:catAx>
      <c:valAx>
        <c:axId val="500272760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50026100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'[3]Private Schools'!$D$9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('[3]Private Schools'!$A$117,'[3]Private Schools'!$A$117,'[3]Private Schools'!$A$117)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'[3]Private Schools'!$D$117</c:f>
              <c:numCache>
                <c:formatCode>General</c:formatCode>
                <c:ptCount val="1"/>
                <c:pt idx="0">
                  <c:v>0.39400000000000002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01-40FF-91E6-FC042EE687D2}"/>
            </c:ext>
          </c:extLst>
        </c:ser>
        <c:ser>
          <c:idx val="3"/>
          <c:order val="1"/>
          <c:tx>
            <c:strRef>
              <c:f>'[3]Private Schools'!$E$9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('[3]Private Schools'!$A$117,'[3]Private Schools'!$A$117,'[3]Private Schools'!$A$117)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'[3]Private Schools'!$E$117</c:f>
              <c:numCache>
                <c:formatCode>General</c:formatCode>
                <c:ptCount val="1"/>
                <c:pt idx="0">
                  <c:v>0.32300000000000001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01-40FF-91E6-FC042EE687D2}"/>
            </c:ext>
          </c:extLst>
        </c:ser>
        <c:ser>
          <c:idx val="0"/>
          <c:order val="2"/>
          <c:tx>
            <c:strRef>
              <c:f>'[3]Private Schools'!$F$9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('[3]Private Schools'!$A$117,'[3]Private Schools'!$A$117,'[3]Private Schools'!$A$117)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('[3]Private Schools'!$F$118,'[3]Private Schools'!$F$117)</c:f>
              <c:numCache>
                <c:formatCode>General</c:formatCode>
                <c:ptCount val="2"/>
                <c:pt idx="1">
                  <c:v>4.3999999999999997E-2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01-40FF-91E6-FC042EE687D2}"/>
            </c:ext>
          </c:extLst>
        </c:ser>
        <c:ser>
          <c:idx val="1"/>
          <c:order val="3"/>
          <c:tx>
            <c:strRef>
              <c:f>'[3]Private Schools'!$G$9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('[3]Private Schools'!$A$117,'[3]Private Schools'!$A$117,'[3]Private Schools'!$A$117)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('[3]Private Schools'!$G$118,'[3]Private Schools'!$G$117)</c:f>
              <c:numCache>
                <c:formatCode>General</c:formatCode>
                <c:ptCount val="2"/>
                <c:pt idx="1">
                  <c:v>0.67300000000000004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01-40FF-91E6-FC042EE687D2}"/>
            </c:ext>
          </c:extLst>
        </c:ser>
        <c:ser>
          <c:idx val="4"/>
          <c:order val="4"/>
          <c:tx>
            <c:strRef>
              <c:f>'[3]Private Schools'!$H$9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('[3]Private Schools'!$A$117,'[3]Private Schools'!$A$117,'[3]Private Schools'!$A$117)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('[3]Private Schools'!$H$118:$H$119,'[3]Private Schools'!$H$117)</c:f>
              <c:numCache>
                <c:formatCode>General</c:formatCode>
                <c:ptCount val="3"/>
                <c:pt idx="2">
                  <c:v>0.41199999999999998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01-40FF-91E6-FC042EE687D2}"/>
            </c:ext>
          </c:extLst>
        </c:ser>
        <c:ser>
          <c:idx val="5"/>
          <c:order val="5"/>
          <c:tx>
            <c:strRef>
              <c:f>'[3]Private Schools'!$I$9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('[3]Private Schools'!$A$117,'[3]Private Schools'!$A$117,'[3]Private Schools'!$A$117)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('[3]Private Schools'!$I$118:$I$119,'[3]Private Schools'!$I$117)</c:f>
              <c:numCache>
                <c:formatCode>General</c:formatCode>
                <c:ptCount val="3"/>
                <c:pt idx="2">
                  <c:v>0.30599999999999999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01-40FF-91E6-FC042EE68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62568"/>
        <c:axId val="500266096"/>
      </c:barChart>
      <c:catAx>
        <c:axId val="5002625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00266096"/>
        <c:crosses val="autoZero"/>
        <c:auto val="1"/>
        <c:lblAlgn val="ctr"/>
        <c:lblOffset val="100"/>
        <c:noMultiLvlLbl val="0"/>
      </c:catAx>
      <c:valAx>
        <c:axId val="500266096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5002625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'[1]Low Poverty'!$D$9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 Poverty'!$A$43:$A$45,'[1]Low Poverty'!$A$43:$A$45,'[1]Low Poverty'!$A$43:$A$45)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'[1]Low Poverty'!$D$43:$D$44</c:f>
              <c:numCache>
                <c:formatCode>General</c:formatCode>
                <c:ptCount val="2"/>
                <c:pt idx="0">
                  <c:v>0.59199999999999997</c:v>
                </c:pt>
                <c:pt idx="1">
                  <c:v>0.56999999999999995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92-46DF-95BB-15C1B2FDC87D}"/>
            </c:ext>
          </c:extLst>
        </c:ser>
        <c:ser>
          <c:idx val="3"/>
          <c:order val="1"/>
          <c:tx>
            <c:strRef>
              <c:f>'[1]Low Poverty'!$E$9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 Poverty'!$A$43:$A$45,'[1]Low Poverty'!$A$43:$A$45,'[1]Low Poverty'!$A$43:$A$45)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'[1]Low Poverty'!$E$43:$E$44</c:f>
              <c:numCache>
                <c:formatCode>General</c:formatCode>
                <c:ptCount val="2"/>
                <c:pt idx="0">
                  <c:v>0.16300000000000001</c:v>
                </c:pt>
                <c:pt idx="1">
                  <c:v>0.16600000000000001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92-46DF-95BB-15C1B2FDC87D}"/>
            </c:ext>
          </c:extLst>
        </c:ser>
        <c:ser>
          <c:idx val="0"/>
          <c:order val="2"/>
          <c:tx>
            <c:strRef>
              <c:f>'[1]Low Poverty'!$F$9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 Poverty'!$A$43:$A$45,'[1]Low Poverty'!$A$43:$A$45,'[1]Low Poverty'!$A$43:$A$45)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('[1]Low Poverty'!$N$16:$N$18,'[1]Low Poverty'!$F$43:$F$44)</c:f>
              <c:numCache>
                <c:formatCode>General</c:formatCode>
                <c:ptCount val="5"/>
                <c:pt idx="3">
                  <c:v>0.187</c:v>
                </c:pt>
                <c:pt idx="4">
                  <c:v>0.17100000000000001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92-46DF-95BB-15C1B2FDC87D}"/>
            </c:ext>
          </c:extLst>
        </c:ser>
        <c:ser>
          <c:idx val="1"/>
          <c:order val="3"/>
          <c:tx>
            <c:strRef>
              <c:f>'[1]Low Poverty'!$G$9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 Poverty'!$A$43:$A$45,'[1]Low Poverty'!$A$43:$A$45,'[1]Low Poverty'!$A$43:$A$45)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('[1]Low Poverty'!$N$16:$N$18,'[1]Low Poverty'!$G$43:$G$44)</c:f>
              <c:numCache>
                <c:formatCode>General</c:formatCode>
                <c:ptCount val="5"/>
                <c:pt idx="3">
                  <c:v>0.56799999999999995</c:v>
                </c:pt>
                <c:pt idx="4">
                  <c:v>0.56599999999999995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92-46DF-95BB-15C1B2FDC87D}"/>
            </c:ext>
          </c:extLst>
        </c:ser>
        <c:ser>
          <c:idx val="4"/>
          <c:order val="4"/>
          <c:tx>
            <c:strRef>
              <c:f>'[1]Low Poverty'!$H$9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 Poverty'!$A$43:$A$45,'[1]Low Poverty'!$A$43:$A$45,'[1]Low Poverty'!$A$43:$A$45)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('[1]Low Poverty'!$N$16:$N$21,'[1]Low Poverty'!$H$43:$H$44)</c:f>
              <c:numCache>
                <c:formatCode>General</c:formatCode>
                <c:ptCount val="8"/>
                <c:pt idx="6">
                  <c:v>0.53800000000000003</c:v>
                </c:pt>
                <c:pt idx="7">
                  <c:v>0.505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92-46DF-95BB-15C1B2FDC87D}"/>
            </c:ext>
          </c:extLst>
        </c:ser>
        <c:ser>
          <c:idx val="5"/>
          <c:order val="5"/>
          <c:tx>
            <c:strRef>
              <c:f>'[1]Low Poverty'!$I$9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 Poverty'!$A$43:$A$45,'[1]Low Poverty'!$A$43:$A$45,'[1]Low Poverty'!$A$43:$A$45)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3">
                  <c:v>2020</c:v>
                </c:pt>
                <c:pt idx="4">
                  <c:v>2021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('[1]Low Poverty'!$N$16:$N$21,'[1]Low Poverty'!$I$43:$I$44)</c:f>
              <c:numCache>
                <c:formatCode>General</c:formatCode>
                <c:ptCount val="8"/>
                <c:pt idx="6">
                  <c:v>0.217</c:v>
                </c:pt>
                <c:pt idx="7">
                  <c:v>0.23100000000000001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592-46DF-95BB-15C1B2FDC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72368"/>
        <c:axId val="500269624"/>
      </c:barChart>
      <c:catAx>
        <c:axId val="50027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00269624"/>
        <c:crosses val="autoZero"/>
        <c:auto val="1"/>
        <c:lblAlgn val="ctr"/>
        <c:lblOffset val="100"/>
        <c:noMultiLvlLbl val="0"/>
      </c:catAx>
      <c:valAx>
        <c:axId val="500269624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500272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2-38DA-4DD0-A1A0-4DFA1819D2C3}"/>
              </c:ext>
            </c:extLst>
          </c:dPt>
          <c:dPt>
            <c:idx val="5"/>
            <c:invertIfNegative val="0"/>
            <c:bubble3D val="0"/>
            <c:spPr>
              <a:solidFill>
                <a:srgbClr val="3B64AD"/>
              </a:solidFill>
            </c:spPr>
            <c:extLst>
              <c:ext xmlns:c16="http://schemas.microsoft.com/office/drawing/2014/chart" uri="{C3380CC4-5D6E-409C-BE32-E72D297353CC}">
                <c16:uniqueId val="{00000000-38DA-4DD0-A1A0-4DFA1819D2C3}"/>
              </c:ext>
            </c:extLst>
          </c:dPt>
          <c:dPt>
            <c:idx val="6"/>
            <c:invertIfNegative val="0"/>
            <c:bubble3D val="0"/>
            <c:spPr>
              <a:solidFill>
                <a:srgbClr val="D26E2A"/>
              </a:solidFill>
            </c:spPr>
            <c:extLst>
              <c:ext xmlns:c16="http://schemas.microsoft.com/office/drawing/2014/chart" uri="{C3380CC4-5D6E-409C-BE32-E72D297353CC}">
                <c16:uniqueId val="{00000001-38DA-4DD0-A1A0-4DFA1819D2C3}"/>
              </c:ext>
            </c:extLst>
          </c:dPt>
          <c:dPt>
            <c:idx val="8"/>
            <c:invertIfNegative val="0"/>
            <c:bubble3D val="0"/>
            <c:spPr>
              <a:solidFill>
                <a:srgbClr val="5089BC"/>
              </a:solidFill>
            </c:spPr>
            <c:extLst>
              <c:ext xmlns:c16="http://schemas.microsoft.com/office/drawing/2014/chart" uri="{C3380CC4-5D6E-409C-BE32-E72D297353CC}">
                <c16:uniqueId val="{00000003-38DA-4DD0-A1A0-4DFA1819D2C3}"/>
              </c:ext>
            </c:extLst>
          </c:dPt>
          <c:dPt>
            <c:idx val="9"/>
            <c:invertIfNegative val="0"/>
            <c:bubble3D val="0"/>
            <c:spPr>
              <a:solidFill>
                <a:srgbClr val="62993E"/>
              </a:solidFill>
            </c:spPr>
            <c:extLst>
              <c:ext xmlns:c16="http://schemas.microsoft.com/office/drawing/2014/chart" uri="{C3380CC4-5D6E-409C-BE32-E72D297353CC}">
                <c16:uniqueId val="{00000004-38DA-4DD0-A1A0-4DFA1819D2C3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('[1]Low Poverty'!$C$107,'[1]Low Poverty'!$O$109,'[1]Low Poverty'!$D$107,'[1]Low Poverty'!$E$107,'[1]Low Poverty'!$O$110,'[1]Low Poverty'!$F$107,'[1]Low Poverty'!$G$107,'[1]Low Poverty'!$O$111,'[1]Low Poverty'!$H$107,'[1]Low Poverty'!$I$107)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('[1]Low Poverty'!$C$108,'[1]Low Poverty'!$O$109,'[1]Low Poverty'!$D$108,'[1]Low Poverty'!$E$108,'[1]Low Poverty'!$O$109,'[1]Low Poverty'!$F$108,'[1]Low Poverty'!$G$108,'[1]Low Poverty'!$O$110,'[1]Low Poverty'!$H$108,'[1]Low Poverty'!$I$108)</c:f>
              <c:numCache>
                <c:formatCode>General</c:formatCode>
                <c:ptCount val="10"/>
                <c:pt idx="0">
                  <c:v>0.89700000000000002</c:v>
                </c:pt>
                <c:pt idx="2">
                  <c:v>0.88600000000000001</c:v>
                </c:pt>
                <c:pt idx="3">
                  <c:v>0.93700000000000006</c:v>
                </c:pt>
                <c:pt idx="5">
                  <c:v>0.76800000000000002</c:v>
                </c:pt>
                <c:pt idx="6">
                  <c:v>0.93899999999999995</c:v>
                </c:pt>
                <c:pt idx="8">
                  <c:v>0.879</c:v>
                </c:pt>
                <c:pt idx="9">
                  <c:v>0.94099999999999995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120-4F00-96A3-F612EDD35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00267664"/>
        <c:axId val="500265312"/>
      </c:barChart>
      <c:catAx>
        <c:axId val="50026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00265312"/>
        <c:crosses val="autoZero"/>
        <c:auto val="1"/>
        <c:lblAlgn val="ctr"/>
        <c:lblOffset val="100"/>
        <c:noMultiLvlLbl val="0"/>
      </c:catAx>
      <c:valAx>
        <c:axId val="500265312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500267664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'[1]Low Poverty'!$D$9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 Poverty'!$A$76:$A$78,'[1]Low Poverty'!$A$76:$A$78,'[1]Low Poverty'!$A$76:$A$78)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'[1]Low Poverty'!$D$76:$D$77</c:f>
              <c:numCache>
                <c:formatCode>General</c:formatCode>
                <c:ptCount val="2"/>
                <c:pt idx="0">
                  <c:v>0.63300000000000001</c:v>
                </c:pt>
                <c:pt idx="1">
                  <c:v>0.621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8F-47F3-A342-46A43A2C9C1B}"/>
            </c:ext>
          </c:extLst>
        </c:ser>
        <c:ser>
          <c:idx val="3"/>
          <c:order val="1"/>
          <c:tx>
            <c:strRef>
              <c:f>'[1]Low Poverty'!$E$9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 Poverty'!$A$76:$A$78,'[1]Low Poverty'!$A$76:$A$78,'[1]Low Poverty'!$A$76:$A$78)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'[1]Low Poverty'!$E$76:$E$77</c:f>
              <c:numCache>
                <c:formatCode>General</c:formatCode>
                <c:ptCount val="2"/>
                <c:pt idx="0">
                  <c:v>0.17799999999999999</c:v>
                </c:pt>
                <c:pt idx="1">
                  <c:v>0.16900000000000001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8F-47F3-A342-46A43A2C9C1B}"/>
            </c:ext>
          </c:extLst>
        </c:ser>
        <c:ser>
          <c:idx val="0"/>
          <c:order val="2"/>
          <c:tx>
            <c:strRef>
              <c:f>'[1]Low Poverty'!$F$9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 Poverty'!$A$76:$A$78,'[1]Low Poverty'!$A$76:$A$78,'[1]Low Poverty'!$A$76:$A$78)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('[1]Low Poverty'!$K$76:$K$78,'[1]Low Poverty'!$F$76:$F$77)</c:f>
              <c:numCache>
                <c:formatCode>General</c:formatCode>
                <c:ptCount val="5"/>
                <c:pt idx="3">
                  <c:v>0.20699999999999999</c:v>
                </c:pt>
                <c:pt idx="4">
                  <c:v>0.20499999999999999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8F-47F3-A342-46A43A2C9C1B}"/>
            </c:ext>
          </c:extLst>
        </c:ser>
        <c:ser>
          <c:idx val="1"/>
          <c:order val="3"/>
          <c:tx>
            <c:strRef>
              <c:f>'[1]Low Poverty'!$G$9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 Poverty'!$A$76:$A$78,'[1]Low Poverty'!$A$76:$A$78,'[1]Low Poverty'!$A$76:$A$78)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('[1]Low Poverty'!$K$76:$K$78,'[1]Low Poverty'!$G$76:$G$77)</c:f>
              <c:numCache>
                <c:formatCode>General</c:formatCode>
                <c:ptCount val="5"/>
                <c:pt idx="3">
                  <c:v>0.60399999999999998</c:v>
                </c:pt>
                <c:pt idx="4">
                  <c:v>0.58399999999999996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8F-47F3-A342-46A43A2C9C1B}"/>
            </c:ext>
          </c:extLst>
        </c:ser>
        <c:ser>
          <c:idx val="4"/>
          <c:order val="4"/>
          <c:tx>
            <c:strRef>
              <c:f>'[1]Low Poverty'!$H$9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 Poverty'!$A$76:$A$78,'[1]Low Poverty'!$A$76:$A$78,'[1]Low Poverty'!$A$76:$A$78)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('[1]Low Poverty'!$K$76:$K$81,'[1]Low Poverty'!$H$76:$H$77)</c:f>
              <c:numCache>
                <c:formatCode>General</c:formatCode>
                <c:ptCount val="8"/>
                <c:pt idx="6">
                  <c:v>0.57499999999999996</c:v>
                </c:pt>
                <c:pt idx="7">
                  <c:v>0.56299999999999994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8F-47F3-A342-46A43A2C9C1B}"/>
            </c:ext>
          </c:extLst>
        </c:ser>
        <c:ser>
          <c:idx val="5"/>
          <c:order val="5"/>
          <c:tx>
            <c:strRef>
              <c:f>'[1]Low Poverty'!$I$9</c:f>
              <c:strCache>
                <c:ptCount val="1"/>
                <c:pt idx="0">
                  <c:v>Out-of-state</c:v>
                </c:pt>
              </c:strCache>
            </c:strRef>
          </c:tx>
          <c:spPr>
            <a:solidFill>
              <a:srgbClr val="62993E"/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 Poverty'!$A$76:$A$78,'[1]Low Poverty'!$A$76:$A$78,'[1]Low Poverty'!$A$76:$A$78)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3">
                  <c:v>2019</c:v>
                </c:pt>
                <c:pt idx="4">
                  <c:v>2020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('[1]Low Poverty'!$K$76:$K$81,'[1]Low Poverty'!$I$76:$I$77)</c:f>
              <c:numCache>
                <c:formatCode>General</c:formatCode>
                <c:ptCount val="8"/>
                <c:pt idx="6">
                  <c:v>0.23599999999999999</c:v>
                </c:pt>
                <c:pt idx="7">
                  <c:v>0.22700000000000001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48F-47F3-A342-46A43A2C9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61000"/>
        <c:axId val="500272760"/>
      </c:barChart>
      <c:catAx>
        <c:axId val="500261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00272760"/>
        <c:crosses val="autoZero"/>
        <c:auto val="1"/>
        <c:lblAlgn val="ctr"/>
        <c:lblOffset val="100"/>
        <c:noMultiLvlLbl val="0"/>
      </c:catAx>
      <c:valAx>
        <c:axId val="500272760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50026100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'[1]Low Poverty'!$D$9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 Poverty'!$A$139,'[1]Low Poverty'!$A$139,'[1]Low Poverty'!$A$139)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'[1]Low Poverty'!$D$139</c:f>
              <c:numCache>
                <c:formatCode>General</c:formatCode>
                <c:ptCount val="1"/>
                <c:pt idx="0">
                  <c:v>0.441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45-4003-BA51-EE2A3B392B75}"/>
            </c:ext>
          </c:extLst>
        </c:ser>
        <c:ser>
          <c:idx val="3"/>
          <c:order val="1"/>
          <c:tx>
            <c:strRef>
              <c:f>'[1]Low Poverty'!$E$9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 Poverty'!$A$139,'[1]Low Poverty'!$A$139,'[1]Low Poverty'!$A$139)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'[1]Low Poverty'!$E$139</c:f>
              <c:numCache>
                <c:formatCode>General</c:formatCode>
                <c:ptCount val="1"/>
                <c:pt idx="0">
                  <c:v>0.155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45-4003-BA51-EE2A3B392B75}"/>
            </c:ext>
          </c:extLst>
        </c:ser>
        <c:ser>
          <c:idx val="0"/>
          <c:order val="2"/>
          <c:tx>
            <c:strRef>
              <c:f>'[1]Low Poverty'!$F$9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 Poverty'!$A$139,'[1]Low Poverty'!$A$139,'[1]Low Poverty'!$A$139)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('[1]Low Poverty'!$F$140,'[1]Low Poverty'!$F$139)</c:f>
              <c:numCache>
                <c:formatCode>General</c:formatCode>
                <c:ptCount val="2"/>
                <c:pt idx="1">
                  <c:v>8.5999999999999993E-2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45-4003-BA51-EE2A3B392B75}"/>
            </c:ext>
          </c:extLst>
        </c:ser>
        <c:ser>
          <c:idx val="1"/>
          <c:order val="3"/>
          <c:tx>
            <c:strRef>
              <c:f>'[1]Low Poverty'!$G$9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 Poverty'!$A$139,'[1]Low Poverty'!$A$139,'[1]Low Poverty'!$A$139)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('[1]Low Poverty'!$G$140,'[1]Low Poverty'!$G$139)</c:f>
              <c:numCache>
                <c:formatCode>General</c:formatCode>
                <c:ptCount val="2"/>
                <c:pt idx="1">
                  <c:v>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45-4003-BA51-EE2A3B392B75}"/>
            </c:ext>
          </c:extLst>
        </c:ser>
        <c:ser>
          <c:idx val="4"/>
          <c:order val="4"/>
          <c:tx>
            <c:strRef>
              <c:f>'[1]Low Poverty'!$H$9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 Poverty'!$A$139,'[1]Low Poverty'!$A$139,'[1]Low Poverty'!$A$139)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('[1]Low Poverty'!$H$140:$H$141,'[1]Low Poverty'!$H$139)</c:f>
              <c:numCache>
                <c:formatCode>General</c:formatCode>
                <c:ptCount val="3"/>
                <c:pt idx="2">
                  <c:v>0.40500000000000003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45-4003-BA51-EE2A3B392B75}"/>
            </c:ext>
          </c:extLst>
        </c:ser>
        <c:ser>
          <c:idx val="5"/>
          <c:order val="5"/>
          <c:tx>
            <c:strRef>
              <c:f>'[1]Low Poverty'!$I$9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('[1]Low Poverty'!$A$139,'[1]Low Poverty'!$A$139,'[1]Low Poverty'!$A$139)</c:f>
              <c:numCache>
                <c:formatCode>General</c:formatCode>
                <c:ptCount val="3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</c:numCache>
            </c:numRef>
          </c:cat>
          <c:val>
            <c:numRef>
              <c:f>('[1]Low Poverty'!$I$140:$I$141,'[1]Low Poverty'!$I$139)</c:f>
              <c:numCache>
                <c:formatCode>General</c:formatCode>
                <c:ptCount val="3"/>
                <c:pt idx="2">
                  <c:v>0.192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45-4003-BA51-EE2A3B392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500262568"/>
        <c:axId val="500266096"/>
      </c:barChart>
      <c:catAx>
        <c:axId val="5002625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00266096"/>
        <c:crosses val="autoZero"/>
        <c:auto val="1"/>
        <c:lblAlgn val="ctr"/>
        <c:lblOffset val="100"/>
        <c:noMultiLvlLbl val="0"/>
      </c:catAx>
      <c:valAx>
        <c:axId val="500266096"/>
        <c:scaling>
          <c:orientation val="minMax"/>
          <c:max val="1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5002625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3" Type="http://schemas.openxmlformats.org/officeDocument/2006/relationships/chart" Target="../charts/chart23.xml"/><Relationship Id="rId7" Type="http://schemas.openxmlformats.org/officeDocument/2006/relationships/chart" Target="../charts/chart27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10" Type="http://schemas.openxmlformats.org/officeDocument/2006/relationships/chart" Target="../charts/chart30.xml"/><Relationship Id="rId4" Type="http://schemas.openxmlformats.org/officeDocument/2006/relationships/chart" Target="../charts/chart24.xml"/><Relationship Id="rId9" Type="http://schemas.openxmlformats.org/officeDocument/2006/relationships/chart" Target="../charts/chart29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4" Type="http://schemas.openxmlformats.org/officeDocument/2006/relationships/chart" Target="../charts/chart5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44</xdr:row>
      <xdr:rowOff>4762</xdr:rowOff>
    </xdr:from>
    <xdr:to>
      <xdr:col>8</xdr:col>
      <xdr:colOff>447674</xdr:colOff>
      <xdr:row>62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9FEF42E-58E2-4277-98B1-A0CA84ACA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102</xdr:row>
      <xdr:rowOff>0</xdr:rowOff>
    </xdr:from>
    <xdr:to>
      <xdr:col>8</xdr:col>
      <xdr:colOff>438150</xdr:colOff>
      <xdr:row>120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741F026-26F0-4510-9A64-0DFE3EE559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8</xdr:col>
      <xdr:colOff>438150</xdr:colOff>
      <xdr:row>92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646D58F-54EC-4EDF-A0E6-A55ED9FE4A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130</xdr:row>
      <xdr:rowOff>0</xdr:rowOff>
    </xdr:from>
    <xdr:to>
      <xdr:col>8</xdr:col>
      <xdr:colOff>438150</xdr:colOff>
      <xdr:row>148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5DAFA38-64A5-440C-B286-124F67A3D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3A37AFA-517E-4A83-8DCD-FEAE40810D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9524</xdr:colOff>
      <xdr:row>44</xdr:row>
      <xdr:rowOff>4762</xdr:rowOff>
    </xdr:from>
    <xdr:to>
      <xdr:col>21</xdr:col>
      <xdr:colOff>447674</xdr:colOff>
      <xdr:row>62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2259B4C-5C25-464A-9ADD-A19037C6B9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102</xdr:row>
      <xdr:rowOff>0</xdr:rowOff>
    </xdr:from>
    <xdr:to>
      <xdr:col>21</xdr:col>
      <xdr:colOff>438150</xdr:colOff>
      <xdr:row>120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5EC45771-9663-4B31-B691-EF96B2CF9D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0</xdr:colOff>
      <xdr:row>74</xdr:row>
      <xdr:rowOff>0</xdr:rowOff>
    </xdr:from>
    <xdr:to>
      <xdr:col>21</xdr:col>
      <xdr:colOff>438150</xdr:colOff>
      <xdr:row>92</xdr:row>
      <xdr:rowOff>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28F2C0ED-D9A6-478E-803D-90FCE1ECEB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0</xdr:colOff>
      <xdr:row>130</xdr:row>
      <xdr:rowOff>0</xdr:rowOff>
    </xdr:from>
    <xdr:to>
      <xdr:col>21</xdr:col>
      <xdr:colOff>438150</xdr:colOff>
      <xdr:row>148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7C60479-224C-47B1-ABB7-BC1D8F7A1E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9524</xdr:colOff>
      <xdr:row>14</xdr:row>
      <xdr:rowOff>4762</xdr:rowOff>
    </xdr:from>
    <xdr:to>
      <xdr:col>21</xdr:col>
      <xdr:colOff>447674</xdr:colOff>
      <xdr:row>32</xdr:row>
      <xdr:rowOff>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C477685E-28E7-4ED8-B4F5-647F393B4F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44</xdr:row>
      <xdr:rowOff>4762</xdr:rowOff>
    </xdr:from>
    <xdr:to>
      <xdr:col>8</xdr:col>
      <xdr:colOff>447674</xdr:colOff>
      <xdr:row>62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7DCD12-B79E-46FE-B8C9-8AC6443B6B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102</xdr:row>
      <xdr:rowOff>0</xdr:rowOff>
    </xdr:from>
    <xdr:to>
      <xdr:col>8</xdr:col>
      <xdr:colOff>438150</xdr:colOff>
      <xdr:row>120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ACA3FD9-E6DA-4A52-851E-9547613FD6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8</xdr:col>
      <xdr:colOff>438150</xdr:colOff>
      <xdr:row>92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9C83F1-34B7-463D-A9FA-1A4EFF2E18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130</xdr:row>
      <xdr:rowOff>0</xdr:rowOff>
    </xdr:from>
    <xdr:to>
      <xdr:col>8</xdr:col>
      <xdr:colOff>438150</xdr:colOff>
      <xdr:row>148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25933B3-0F36-4DE0-B962-4C13180FD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B7A3580-3C53-4292-9126-293E049113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9524</xdr:colOff>
      <xdr:row>44</xdr:row>
      <xdr:rowOff>4762</xdr:rowOff>
    </xdr:from>
    <xdr:to>
      <xdr:col>21</xdr:col>
      <xdr:colOff>447674</xdr:colOff>
      <xdr:row>62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10C8D5D-B8FD-4193-8DD9-0D2B476452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102</xdr:row>
      <xdr:rowOff>0</xdr:rowOff>
    </xdr:from>
    <xdr:to>
      <xdr:col>21</xdr:col>
      <xdr:colOff>438150</xdr:colOff>
      <xdr:row>120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A06CA67-FB37-47CE-BFFC-E4CC92192A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0</xdr:colOff>
      <xdr:row>74</xdr:row>
      <xdr:rowOff>0</xdr:rowOff>
    </xdr:from>
    <xdr:to>
      <xdr:col>21</xdr:col>
      <xdr:colOff>438150</xdr:colOff>
      <xdr:row>92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3700379-9772-41CD-9B65-E79D9EDAB3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0</xdr:colOff>
      <xdr:row>130</xdr:row>
      <xdr:rowOff>0</xdr:rowOff>
    </xdr:from>
    <xdr:to>
      <xdr:col>21</xdr:col>
      <xdr:colOff>438150</xdr:colOff>
      <xdr:row>148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ACBDAF8-A7F8-415C-AE8E-F568087DD0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9524</xdr:colOff>
      <xdr:row>14</xdr:row>
      <xdr:rowOff>4762</xdr:rowOff>
    </xdr:from>
    <xdr:to>
      <xdr:col>21</xdr:col>
      <xdr:colOff>447674</xdr:colOff>
      <xdr:row>32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5AE9D33-E116-4BE2-8F79-250A2474F1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44</xdr:row>
      <xdr:rowOff>4762</xdr:rowOff>
    </xdr:from>
    <xdr:to>
      <xdr:col>8</xdr:col>
      <xdr:colOff>447674</xdr:colOff>
      <xdr:row>62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A0DB15-EE23-4784-8BFE-0F93905537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102</xdr:row>
      <xdr:rowOff>0</xdr:rowOff>
    </xdr:from>
    <xdr:to>
      <xdr:col>8</xdr:col>
      <xdr:colOff>438150</xdr:colOff>
      <xdr:row>120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4B0144E-B37D-4D4E-9288-613B90BEE4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8</xdr:col>
      <xdr:colOff>438150</xdr:colOff>
      <xdr:row>92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AEE624F-3F31-4E75-B353-5CEDEC02B0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130</xdr:row>
      <xdr:rowOff>0</xdr:rowOff>
    </xdr:from>
    <xdr:to>
      <xdr:col>8</xdr:col>
      <xdr:colOff>438150</xdr:colOff>
      <xdr:row>148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24D6BC7-44A5-45BF-9C72-87B040FA0E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F70AC15-786C-48E9-B538-C257A0589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9524</xdr:colOff>
      <xdr:row>44</xdr:row>
      <xdr:rowOff>4762</xdr:rowOff>
    </xdr:from>
    <xdr:to>
      <xdr:col>21</xdr:col>
      <xdr:colOff>447674</xdr:colOff>
      <xdr:row>62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6038090-06E0-406B-A202-532768B2D0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102</xdr:row>
      <xdr:rowOff>0</xdr:rowOff>
    </xdr:from>
    <xdr:to>
      <xdr:col>21</xdr:col>
      <xdr:colOff>438150</xdr:colOff>
      <xdr:row>120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5628AF0-A8CD-4F07-91E2-ED9DDD27B1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0</xdr:colOff>
      <xdr:row>74</xdr:row>
      <xdr:rowOff>0</xdr:rowOff>
    </xdr:from>
    <xdr:to>
      <xdr:col>21</xdr:col>
      <xdr:colOff>438150</xdr:colOff>
      <xdr:row>92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A4ACB26-7FD9-4B47-A68D-724F0B942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0</xdr:colOff>
      <xdr:row>130</xdr:row>
      <xdr:rowOff>0</xdr:rowOff>
    </xdr:from>
    <xdr:to>
      <xdr:col>21</xdr:col>
      <xdr:colOff>438150</xdr:colOff>
      <xdr:row>148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A63144C-19DA-4DF1-A8DB-1B08D7AB0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9524</xdr:colOff>
      <xdr:row>14</xdr:row>
      <xdr:rowOff>4762</xdr:rowOff>
    </xdr:from>
    <xdr:to>
      <xdr:col>21</xdr:col>
      <xdr:colOff>447674</xdr:colOff>
      <xdr:row>32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2A81DDA-C55F-4974-BE57-A58C13C1F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44</xdr:row>
      <xdr:rowOff>4762</xdr:rowOff>
    </xdr:from>
    <xdr:to>
      <xdr:col>8</xdr:col>
      <xdr:colOff>447674</xdr:colOff>
      <xdr:row>62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BD8965-00BC-4A7A-9528-0ABCDBB00A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102</xdr:row>
      <xdr:rowOff>0</xdr:rowOff>
    </xdr:from>
    <xdr:to>
      <xdr:col>8</xdr:col>
      <xdr:colOff>438150</xdr:colOff>
      <xdr:row>120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858E413-77BC-4057-96E7-F6CA8A1077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8</xdr:col>
      <xdr:colOff>438150</xdr:colOff>
      <xdr:row>92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4E426FF-C852-4D13-A070-6BC8EC32DC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130</xdr:row>
      <xdr:rowOff>0</xdr:rowOff>
    </xdr:from>
    <xdr:to>
      <xdr:col>8</xdr:col>
      <xdr:colOff>438150</xdr:colOff>
      <xdr:row>148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C694459-DA71-47A2-8392-E5AC407C30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F78131D-375B-40E4-B183-C9C10BAEF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9524</xdr:colOff>
      <xdr:row>44</xdr:row>
      <xdr:rowOff>4762</xdr:rowOff>
    </xdr:from>
    <xdr:to>
      <xdr:col>21</xdr:col>
      <xdr:colOff>447674</xdr:colOff>
      <xdr:row>62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F7FC505-DC9C-499E-8D2A-0700100CA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102</xdr:row>
      <xdr:rowOff>0</xdr:rowOff>
    </xdr:from>
    <xdr:to>
      <xdr:col>21</xdr:col>
      <xdr:colOff>438150</xdr:colOff>
      <xdr:row>120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C68A4B7-434B-442E-9243-60E5AE953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0</xdr:colOff>
      <xdr:row>74</xdr:row>
      <xdr:rowOff>0</xdr:rowOff>
    </xdr:from>
    <xdr:to>
      <xdr:col>21</xdr:col>
      <xdr:colOff>438150</xdr:colOff>
      <xdr:row>92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79F8F30-D8C8-4858-BD34-FD86138089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0</xdr:colOff>
      <xdr:row>130</xdr:row>
      <xdr:rowOff>0</xdr:rowOff>
    </xdr:from>
    <xdr:to>
      <xdr:col>21</xdr:col>
      <xdr:colOff>438150</xdr:colOff>
      <xdr:row>148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E1FD345-E35D-41AB-9E13-59133E12A8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9524</xdr:colOff>
      <xdr:row>14</xdr:row>
      <xdr:rowOff>4762</xdr:rowOff>
    </xdr:from>
    <xdr:to>
      <xdr:col>21</xdr:col>
      <xdr:colOff>447674</xdr:colOff>
      <xdr:row>32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E6CA340-D751-47B2-BC5B-97DF73D67F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26</xdr:col>
      <xdr:colOff>9524</xdr:colOff>
      <xdr:row>44</xdr:row>
      <xdr:rowOff>4762</xdr:rowOff>
    </xdr:from>
    <xdr:to>
      <xdr:col>34</xdr:col>
      <xdr:colOff>447674</xdr:colOff>
      <xdr:row>62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F15C9C0-7A53-4077-9449-A6CFC85C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26</xdr:col>
      <xdr:colOff>0</xdr:colOff>
      <xdr:row>102</xdr:row>
      <xdr:rowOff>0</xdr:rowOff>
    </xdr:from>
    <xdr:to>
      <xdr:col>34</xdr:col>
      <xdr:colOff>438150</xdr:colOff>
      <xdr:row>120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F9AEFAA5-1E21-4BCB-A035-E318DCB266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26</xdr:col>
      <xdr:colOff>0</xdr:colOff>
      <xdr:row>74</xdr:row>
      <xdr:rowOff>0</xdr:rowOff>
    </xdr:from>
    <xdr:to>
      <xdr:col>34</xdr:col>
      <xdr:colOff>438150</xdr:colOff>
      <xdr:row>92</xdr:row>
      <xdr:rowOff>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FD12CBDF-EB25-4C96-9C35-C150E36695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26</xdr:col>
      <xdr:colOff>0</xdr:colOff>
      <xdr:row>130</xdr:row>
      <xdr:rowOff>0</xdr:rowOff>
    </xdr:from>
    <xdr:to>
      <xdr:col>34</xdr:col>
      <xdr:colOff>438150</xdr:colOff>
      <xdr:row>148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8CE6B577-7812-421F-9F11-EABCF3161A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26</xdr:col>
      <xdr:colOff>9524</xdr:colOff>
      <xdr:row>14</xdr:row>
      <xdr:rowOff>4762</xdr:rowOff>
    </xdr:from>
    <xdr:to>
      <xdr:col>34</xdr:col>
      <xdr:colOff>447674</xdr:colOff>
      <xdr:row>32</xdr:row>
      <xdr:rowOff>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8423C48-A3F7-428D-B3BD-92E538EE62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43</xdr:row>
      <xdr:rowOff>4762</xdr:rowOff>
    </xdr:from>
    <xdr:to>
      <xdr:col>8</xdr:col>
      <xdr:colOff>447674</xdr:colOff>
      <xdr:row>61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909693-8EBD-4C7D-82EB-9E4A0CABE3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8</xdr:col>
      <xdr:colOff>438150</xdr:colOff>
      <xdr:row>119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ADABAB5-A1D4-41F0-B96E-325494AE9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8</xdr:col>
      <xdr:colOff>438150</xdr:colOff>
      <xdr:row>91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31185D5-7CA1-4842-880D-18FA6BBC17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129</xdr:row>
      <xdr:rowOff>0</xdr:rowOff>
    </xdr:from>
    <xdr:to>
      <xdr:col>8</xdr:col>
      <xdr:colOff>438150</xdr:colOff>
      <xdr:row>147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A666DAD-626D-42AF-A014-8F48D27C2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9524</xdr:colOff>
      <xdr:row>13</xdr:row>
      <xdr:rowOff>4762</xdr:rowOff>
    </xdr:from>
    <xdr:to>
      <xdr:col>8</xdr:col>
      <xdr:colOff>447674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81C6ECC-74FC-4474-BCF5-1893CD7B9E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24</xdr:row>
      <xdr:rowOff>4762</xdr:rowOff>
    </xdr:from>
    <xdr:to>
      <xdr:col>8</xdr:col>
      <xdr:colOff>447674</xdr:colOff>
      <xdr:row>42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992DCFC-46DE-42F9-A5A2-E60C338F0A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82</xdr:row>
      <xdr:rowOff>0</xdr:rowOff>
    </xdr:from>
    <xdr:to>
      <xdr:col>8</xdr:col>
      <xdr:colOff>438150</xdr:colOff>
      <xdr:row>100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BD6B55F-8DF5-46E7-8287-7DBB3FF0AA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8</xdr:col>
      <xdr:colOff>438150</xdr:colOff>
      <xdr:row>72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5CCD9F3-50D8-477B-A4AF-AD408D6B36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110</xdr:row>
      <xdr:rowOff>0</xdr:rowOff>
    </xdr:from>
    <xdr:to>
      <xdr:col>8</xdr:col>
      <xdr:colOff>438150</xdr:colOff>
      <xdr:row>128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7C14988-5710-44E7-BAC6-8C77152F84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udentclearinghouse.sharepoint.com/sites/ResearchServicesfromZdrive/Shared%20Documents/Research%20Services/PUBLICATIONS/HS%20Benchmarks/2023/Appendices/HSBR2023%20Public%20Non-Charter%20Schools.xlsx" TargetMode="External"/><Relationship Id="rId1" Type="http://schemas.openxmlformats.org/officeDocument/2006/relationships/externalLinkPath" Target="/sites/ResearchServicesfromZdrive/Shared%20Documents/Research%20Services/PUBLICATIONS/HS%20Benchmarks/2023/DS.MR%20review/MR%20Final%20Review/HSBR2023%20Public%20Non-Charter%20School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udentclearinghouse.sharepoint.com/sites/ResearchServicesfromZdrive/Shared%20Documents/Research%20Services/PUBLICATIONS/HS%20Benchmarks/2023/Appendices/HSBR2023%20Charter%20Schools.xlsx" TargetMode="External"/><Relationship Id="rId1" Type="http://schemas.openxmlformats.org/officeDocument/2006/relationships/externalLinkPath" Target="/sites/ResearchServicesfromZdrive/Shared%20Documents/Research%20Services/PUBLICATIONS/HS%20Benchmarks/2023/DS.MR%20review/MR%20Final%20Review/HSBR2023%20Charter%20Schools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udentclearinghouse.sharepoint.com/sites/ResearchServicesfromZdrive/Shared%20Documents/Research%20Services/PUBLICATIONS/HS%20Benchmarks/2023/Appendices/HSBR2023%20Private%20Schools.xlsx" TargetMode="External"/><Relationship Id="rId1" Type="http://schemas.openxmlformats.org/officeDocument/2006/relationships/externalLinkPath" Target="/sites/ResearchServicesfromZdrive/Shared%20Documents/Research%20Services/PUBLICATIONS/HS%20Benchmarks/2023/DS.MR%20review/MR%20Final%20Review/HSBR2023%20Private%20Schools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udentclearinghouse.sharepoint.com/sites/ResearchServicesfromZdrive/Shared%20Documents/Research%20Services/PUBLICATIONS/HS%20Benchmarks/2023/Appendices/HSBR2023%20Public%20Non-Charter%20Schools.xlsx" TargetMode="External"/><Relationship Id="rId1" Type="http://schemas.openxmlformats.org/officeDocument/2006/relationships/externalLinkPath" Target="/sites/ResearchServicesfromZdrive/Shared%20Documents/Research%20Services/PUBLICATIONS/HS%20Benchmarks/2023/QC/HSB%20Final%20QC/JSC%20QC%20Files/HSBR2023%20Public%20Non-Charter%20Schools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udentclearinghouse.sharepoint.com/sites/ResearchServicesfromZdrive/Shared%20Documents/Research%20Services/PUBLICATIONS/HS%20Benchmarks/2023/Appendices/HSBR2023%20Charter%20Schools.xlsx" TargetMode="External"/><Relationship Id="rId1" Type="http://schemas.openxmlformats.org/officeDocument/2006/relationships/externalLinkPath" Target="/sites/ResearchServicesfromZdrive/Shared%20Documents/Research%20Services/PUBLICATIONS/HS%20Benchmarks/2023/QC/HSB%20Final%20QC/JSC%20QC%20Files/HSBR2023%20Charter%20School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udentclearinghouse.sharepoint.com/sites/ResearchServicesfromZdrive/Shared%20Documents/Research%20Services/PUBLICATIONS/HS%20Benchmarks/2023/Appendices/HSBR2023%20Private%20Schools.xlsx" TargetMode="External"/><Relationship Id="rId1" Type="http://schemas.openxmlformats.org/officeDocument/2006/relationships/externalLinkPath" Target="/sites/ResearchServicesfromZdrive/Shared%20Documents/Research%20Services/PUBLICATIONS/HS%20Benchmarks/2023/QC/HSB%20Final%20QC/JSC%20QC%20Files/HSBR2023%20Private%20Schoo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l DATA"/>
      <sheetName val="High Poverty"/>
      <sheetName val="Low Poverty"/>
      <sheetName val="Lower Income"/>
      <sheetName val="Higher Income"/>
      <sheetName val="High Minority"/>
      <sheetName val="Low Minority"/>
      <sheetName val="Urban"/>
      <sheetName val="Suburban"/>
      <sheetName val="Rural"/>
    </sheetNames>
    <sheetDataSet>
      <sheetData sheetId="0" refreshError="1"/>
      <sheetData sheetId="1">
        <row r="9">
          <cell r="D9" t="str">
            <v>Public</v>
          </cell>
          <cell r="E9" t="str">
            <v>Private</v>
          </cell>
          <cell r="F9" t="str">
            <v>Two-year</v>
          </cell>
          <cell r="G9" t="str">
            <v>Four-year</v>
          </cell>
          <cell r="H9" t="str">
            <v>In-state</v>
          </cell>
          <cell r="I9" t="str">
            <v>Out-of-state</v>
          </cell>
        </row>
        <row r="10">
          <cell r="A10">
            <v>2021</v>
          </cell>
          <cell r="D10">
            <v>0.42099999999999999</v>
          </cell>
          <cell r="E10">
            <v>5.1999999999999998E-2</v>
          </cell>
          <cell r="F10">
            <v>0.21199999999999999</v>
          </cell>
          <cell r="G10">
            <v>0.26</v>
          </cell>
          <cell r="H10">
            <v>0.43099999999999999</v>
          </cell>
          <cell r="I10">
            <v>4.2000000000000003E-2</v>
          </cell>
        </row>
        <row r="11">
          <cell r="A11">
            <v>2022</v>
          </cell>
          <cell r="D11">
            <v>0.443</v>
          </cell>
          <cell r="E11">
            <v>5.7000000000000002E-2</v>
          </cell>
          <cell r="F11">
            <v>0.23</v>
          </cell>
          <cell r="G11">
            <v>0.26900000000000002</v>
          </cell>
          <cell r="H11">
            <v>0.46100000000000002</v>
          </cell>
          <cell r="I11">
            <v>3.7999999999999999E-2</v>
          </cell>
        </row>
        <row r="43">
          <cell r="A43">
            <v>2020</v>
          </cell>
          <cell r="D43">
            <v>0.45500000000000002</v>
          </cell>
          <cell r="E43">
            <v>6.2E-2</v>
          </cell>
          <cell r="F43">
            <v>0.25</v>
          </cell>
          <cell r="G43">
            <v>0.26700000000000002</v>
          </cell>
          <cell r="H43">
            <v>0.47399999999999998</v>
          </cell>
          <cell r="I43">
            <v>4.2999999999999997E-2</v>
          </cell>
        </row>
        <row r="44">
          <cell r="A44">
            <v>2021</v>
          </cell>
          <cell r="D44">
            <v>0.45300000000000001</v>
          </cell>
          <cell r="E44">
            <v>5.7000000000000002E-2</v>
          </cell>
          <cell r="F44">
            <v>0.23499999999999999</v>
          </cell>
          <cell r="G44">
            <v>0.27600000000000002</v>
          </cell>
          <cell r="H44">
            <v>0.46400000000000002</v>
          </cell>
          <cell r="I44">
            <v>4.5999999999999999E-2</v>
          </cell>
        </row>
        <row r="76">
          <cell r="A76">
            <v>2019</v>
          </cell>
          <cell r="D76">
            <v>0.55100000000000005</v>
          </cell>
          <cell r="E76">
            <v>6.7000000000000004E-2</v>
          </cell>
          <cell r="F76">
            <v>0.32100000000000001</v>
          </cell>
          <cell r="G76">
            <v>0.29699999999999999</v>
          </cell>
          <cell r="H76">
            <v>0.56899999999999995</v>
          </cell>
          <cell r="I76">
            <v>4.9000000000000002E-2</v>
          </cell>
        </row>
        <row r="77">
          <cell r="A77">
            <v>2020</v>
          </cell>
          <cell r="D77">
            <v>0.48899999999999999</v>
          </cell>
          <cell r="E77">
            <v>6.8000000000000005E-2</v>
          </cell>
          <cell r="F77">
            <v>0.27800000000000002</v>
          </cell>
          <cell r="G77">
            <v>0.27900000000000003</v>
          </cell>
          <cell r="H77">
            <v>0.50800000000000001</v>
          </cell>
          <cell r="I77">
            <v>4.9000000000000002E-2</v>
          </cell>
        </row>
        <row r="107">
          <cell r="C107" t="str">
            <v>Total</v>
          </cell>
          <cell r="D107" t="str">
            <v>Public</v>
          </cell>
          <cell r="E107" t="str">
            <v>Private</v>
          </cell>
          <cell r="F107" t="str">
            <v>Two-year</v>
          </cell>
          <cell r="G107" t="str">
            <v>Four-year</v>
          </cell>
          <cell r="H107" t="str">
            <v>In-state</v>
          </cell>
          <cell r="I107" t="str">
            <v>Out-of-state</v>
          </cell>
        </row>
        <row r="108">
          <cell r="C108">
            <v>0.72</v>
          </cell>
          <cell r="D108">
            <v>0.71599999999999997</v>
          </cell>
          <cell r="E108">
            <v>0.746</v>
          </cell>
          <cell r="F108">
            <v>0.63200000000000001</v>
          </cell>
          <cell r="G108">
            <v>0.80200000000000005</v>
          </cell>
          <cell r="H108">
            <v>0.71799999999999997</v>
          </cell>
          <cell r="I108">
            <v>0.74199999999999999</v>
          </cell>
        </row>
        <row r="139">
          <cell r="A139">
            <v>2016</v>
          </cell>
          <cell r="D139">
            <v>0.21</v>
          </cell>
          <cell r="E139">
            <v>3.9E-2</v>
          </cell>
          <cell r="F139">
            <v>8.4000000000000005E-2</v>
          </cell>
          <cell r="G139">
            <v>0.16400000000000001</v>
          </cell>
          <cell r="H139">
            <v>0.224</v>
          </cell>
          <cell r="I139">
            <v>2.5000000000000001E-2</v>
          </cell>
        </row>
      </sheetData>
      <sheetData sheetId="2">
        <row r="9">
          <cell r="D9" t="str">
            <v>Public</v>
          </cell>
          <cell r="E9" t="str">
            <v>Private</v>
          </cell>
          <cell r="F9" t="str">
            <v>Two-year</v>
          </cell>
          <cell r="G9" t="str">
            <v>Four-year</v>
          </cell>
          <cell r="H9" t="str">
            <v>In-state</v>
          </cell>
          <cell r="I9" t="str">
            <v>Out-of-state</v>
          </cell>
        </row>
        <row r="10">
          <cell r="A10">
            <v>2021</v>
          </cell>
          <cell r="D10">
            <v>0.54900000000000004</v>
          </cell>
          <cell r="E10">
            <v>0.161</v>
          </cell>
          <cell r="F10">
            <v>0.16</v>
          </cell>
          <cell r="G10">
            <v>0.55100000000000005</v>
          </cell>
          <cell r="H10">
            <v>0.48499999999999999</v>
          </cell>
          <cell r="I10">
            <v>0.22500000000000001</v>
          </cell>
        </row>
        <row r="11">
          <cell r="A11">
            <v>2022</v>
          </cell>
          <cell r="D11">
            <v>0.55400000000000005</v>
          </cell>
          <cell r="E11">
            <v>0.155</v>
          </cell>
          <cell r="F11">
            <v>0.16300000000000001</v>
          </cell>
          <cell r="G11">
            <v>0.54700000000000004</v>
          </cell>
          <cell r="H11">
            <v>0.47699999999999998</v>
          </cell>
          <cell r="I11">
            <v>0.23200000000000001</v>
          </cell>
        </row>
        <row r="43">
          <cell r="A43">
            <v>2020</v>
          </cell>
          <cell r="D43">
            <v>0.59199999999999997</v>
          </cell>
          <cell r="E43">
            <v>0.16300000000000001</v>
          </cell>
          <cell r="F43">
            <v>0.187</v>
          </cell>
          <cell r="G43">
            <v>0.56799999999999995</v>
          </cell>
          <cell r="H43">
            <v>0.53800000000000003</v>
          </cell>
          <cell r="I43">
            <v>0.217</v>
          </cell>
        </row>
        <row r="44">
          <cell r="A44">
            <v>2021</v>
          </cell>
          <cell r="D44">
            <v>0.56999999999999995</v>
          </cell>
          <cell r="E44">
            <v>0.16600000000000001</v>
          </cell>
          <cell r="F44">
            <v>0.17100000000000001</v>
          </cell>
          <cell r="G44">
            <v>0.56599999999999995</v>
          </cell>
          <cell r="H44">
            <v>0.505</v>
          </cell>
          <cell r="I44">
            <v>0.23100000000000001</v>
          </cell>
        </row>
        <row r="76">
          <cell r="A76">
            <v>2019</v>
          </cell>
          <cell r="D76">
            <v>0.63300000000000001</v>
          </cell>
          <cell r="E76">
            <v>0.17799999999999999</v>
          </cell>
          <cell r="F76">
            <v>0.20699999999999999</v>
          </cell>
          <cell r="G76">
            <v>0.60399999999999998</v>
          </cell>
          <cell r="H76">
            <v>0.57499999999999996</v>
          </cell>
          <cell r="I76">
            <v>0.23599999999999999</v>
          </cell>
        </row>
        <row r="77">
          <cell r="A77">
            <v>2020</v>
          </cell>
          <cell r="D77">
            <v>0.621</v>
          </cell>
          <cell r="E77">
            <v>0.16900000000000001</v>
          </cell>
          <cell r="F77">
            <v>0.20499999999999999</v>
          </cell>
          <cell r="G77">
            <v>0.58399999999999996</v>
          </cell>
          <cell r="H77">
            <v>0.56299999999999994</v>
          </cell>
          <cell r="I77">
            <v>0.22700000000000001</v>
          </cell>
        </row>
        <row r="107">
          <cell r="C107" t="str">
            <v>Total</v>
          </cell>
          <cell r="D107" t="str">
            <v>Public</v>
          </cell>
          <cell r="E107" t="str">
            <v>Private</v>
          </cell>
          <cell r="F107" t="str">
            <v>Two-year</v>
          </cell>
          <cell r="G107" t="str">
            <v>Four-year</v>
          </cell>
          <cell r="H107" t="str">
            <v>In-state</v>
          </cell>
          <cell r="I107" t="str">
            <v>Out-of-state</v>
          </cell>
        </row>
        <row r="108">
          <cell r="C108">
            <v>0.89700000000000002</v>
          </cell>
          <cell r="D108">
            <v>0.88600000000000001</v>
          </cell>
          <cell r="E108">
            <v>0.93700000000000006</v>
          </cell>
          <cell r="F108">
            <v>0.76800000000000002</v>
          </cell>
          <cell r="G108">
            <v>0.93899999999999995</v>
          </cell>
          <cell r="H108">
            <v>0.879</v>
          </cell>
          <cell r="I108">
            <v>0.94099999999999995</v>
          </cell>
        </row>
        <row r="139">
          <cell r="A139">
            <v>2016</v>
          </cell>
          <cell r="D139">
            <v>0.441</v>
          </cell>
          <cell r="E139">
            <v>0.155</v>
          </cell>
          <cell r="F139">
            <v>8.5999999999999993E-2</v>
          </cell>
          <cell r="G139">
            <v>0.51</v>
          </cell>
          <cell r="H139">
            <v>0.40500000000000003</v>
          </cell>
          <cell r="I139">
            <v>0.192</v>
          </cell>
        </row>
      </sheetData>
      <sheetData sheetId="3">
        <row r="9">
          <cell r="D9" t="str">
            <v>Public</v>
          </cell>
          <cell r="E9" t="str">
            <v>Private</v>
          </cell>
          <cell r="F9" t="str">
            <v>Two-year</v>
          </cell>
          <cell r="G9" t="str">
            <v>Four-year</v>
          </cell>
          <cell r="H9" t="str">
            <v>In-state</v>
          </cell>
          <cell r="I9" t="str">
            <v>Out-of-state</v>
          </cell>
        </row>
        <row r="10">
          <cell r="A10">
            <v>2021</v>
          </cell>
          <cell r="D10">
            <v>0.437</v>
          </cell>
          <cell r="E10">
            <v>6.0999999999999999E-2</v>
          </cell>
          <cell r="F10">
            <v>0.20899999999999999</v>
          </cell>
          <cell r="G10">
            <v>0.28799999999999998</v>
          </cell>
          <cell r="H10">
            <v>0.44400000000000001</v>
          </cell>
          <cell r="I10">
            <v>5.2999999999999999E-2</v>
          </cell>
        </row>
        <row r="11">
          <cell r="A11">
            <v>2022</v>
          </cell>
          <cell r="D11">
            <v>0.46100000000000002</v>
          </cell>
          <cell r="E11">
            <v>6.3E-2</v>
          </cell>
          <cell r="F11">
            <v>0.23100000000000001</v>
          </cell>
          <cell r="G11">
            <v>0.29299999999999998</v>
          </cell>
          <cell r="H11">
            <v>0.47299999999999998</v>
          </cell>
          <cell r="I11">
            <v>5.0999999999999997E-2</v>
          </cell>
        </row>
        <row r="43">
          <cell r="A43">
            <v>2020</v>
          </cell>
          <cell r="D43">
            <v>0.47699999999999998</v>
          </cell>
          <cell r="E43">
            <v>6.9000000000000006E-2</v>
          </cell>
          <cell r="F43">
            <v>0.251</v>
          </cell>
          <cell r="G43">
            <v>0.29499999999999998</v>
          </cell>
          <cell r="H43">
            <v>0.49099999999999999</v>
          </cell>
          <cell r="I43">
            <v>5.5E-2</v>
          </cell>
        </row>
        <row r="44">
          <cell r="A44">
            <v>2021</v>
          </cell>
          <cell r="D44">
            <v>0.47</v>
          </cell>
          <cell r="E44">
            <v>6.6000000000000003E-2</v>
          </cell>
          <cell r="F44">
            <v>0.23200000000000001</v>
          </cell>
          <cell r="G44">
            <v>0.30499999999999999</v>
          </cell>
          <cell r="H44">
            <v>0.47799999999999998</v>
          </cell>
          <cell r="I44">
            <v>5.8000000000000003E-2</v>
          </cell>
        </row>
        <row r="76">
          <cell r="A76">
            <v>2019</v>
          </cell>
          <cell r="D76">
            <v>0.55700000000000005</v>
          </cell>
          <cell r="E76">
            <v>7.3999999999999996E-2</v>
          </cell>
          <cell r="F76">
            <v>0.313</v>
          </cell>
          <cell r="G76">
            <v>0.318</v>
          </cell>
          <cell r="H76">
            <v>0.56899999999999995</v>
          </cell>
          <cell r="I76">
            <v>6.0999999999999999E-2</v>
          </cell>
        </row>
        <row r="77">
          <cell r="A77">
            <v>2020</v>
          </cell>
          <cell r="D77">
            <v>0.51200000000000001</v>
          </cell>
          <cell r="E77">
            <v>7.3999999999999996E-2</v>
          </cell>
          <cell r="F77">
            <v>0.27900000000000003</v>
          </cell>
          <cell r="G77">
            <v>0.308</v>
          </cell>
          <cell r="H77">
            <v>0.52500000000000002</v>
          </cell>
          <cell r="I77">
            <v>6.2E-2</v>
          </cell>
        </row>
        <row r="107">
          <cell r="C107" t="str">
            <v>Total</v>
          </cell>
          <cell r="D107" t="str">
            <v>Public</v>
          </cell>
          <cell r="E107" t="str">
            <v>Private</v>
          </cell>
          <cell r="F107" t="str">
            <v>Two-year</v>
          </cell>
          <cell r="G107" t="str">
            <v>Four-year</v>
          </cell>
          <cell r="H107" t="str">
            <v>In-state</v>
          </cell>
          <cell r="I107" t="str">
            <v>Out-of-state</v>
          </cell>
        </row>
        <row r="108">
          <cell r="C108">
            <v>0.755</v>
          </cell>
          <cell r="D108">
            <v>0.748</v>
          </cell>
          <cell r="E108">
            <v>0.79600000000000004</v>
          </cell>
          <cell r="F108">
            <v>0.66100000000000003</v>
          </cell>
          <cell r="G108">
            <v>0.83399999999999996</v>
          </cell>
          <cell r="H108">
            <v>0.75</v>
          </cell>
          <cell r="I108">
            <v>0.79400000000000004</v>
          </cell>
        </row>
        <row r="139">
          <cell r="A139">
            <v>2016</v>
          </cell>
          <cell r="D139">
            <v>0.24299999999999999</v>
          </cell>
          <cell r="E139">
            <v>4.9000000000000002E-2</v>
          </cell>
          <cell r="F139">
            <v>9.0999999999999998E-2</v>
          </cell>
          <cell r="G139">
            <v>0.20100000000000001</v>
          </cell>
          <cell r="H139">
            <v>0.255</v>
          </cell>
          <cell r="I139">
            <v>3.6999999999999998E-2</v>
          </cell>
        </row>
      </sheetData>
      <sheetData sheetId="4">
        <row r="9">
          <cell r="D9" t="str">
            <v>Public</v>
          </cell>
          <cell r="E9" t="str">
            <v>Private</v>
          </cell>
          <cell r="F9" t="str">
            <v>Two-year</v>
          </cell>
          <cell r="G9" t="str">
            <v>Four-year</v>
          </cell>
          <cell r="H9" t="str">
            <v>In-state</v>
          </cell>
          <cell r="I9" t="str">
            <v>Out-of-state</v>
          </cell>
        </row>
        <row r="10">
          <cell r="A10">
            <v>2021</v>
          </cell>
          <cell r="D10">
            <v>0.49099999999999999</v>
          </cell>
          <cell r="E10">
            <v>0.13100000000000001</v>
          </cell>
          <cell r="F10">
            <v>0.16900000000000001</v>
          </cell>
          <cell r="G10">
            <v>0.45300000000000001</v>
          </cell>
          <cell r="H10">
            <v>0.46300000000000002</v>
          </cell>
          <cell r="I10">
            <v>0.159</v>
          </cell>
        </row>
        <row r="11">
          <cell r="A11">
            <v>2022</v>
          </cell>
          <cell r="D11">
            <v>0.5</v>
          </cell>
          <cell r="E11">
            <v>0.13200000000000001</v>
          </cell>
          <cell r="F11">
            <v>0.16400000000000001</v>
          </cell>
          <cell r="G11">
            <v>0.46800000000000003</v>
          </cell>
          <cell r="H11">
            <v>0.46700000000000003</v>
          </cell>
          <cell r="I11">
            <v>0.16500000000000001</v>
          </cell>
        </row>
        <row r="43">
          <cell r="A43">
            <v>2020</v>
          </cell>
          <cell r="D43">
            <v>0.53600000000000003</v>
          </cell>
          <cell r="E43">
            <v>0.13700000000000001</v>
          </cell>
          <cell r="F43">
            <v>0.19900000000000001</v>
          </cell>
          <cell r="G43">
            <v>0.47499999999999998</v>
          </cell>
          <cell r="H43">
            <v>0.51700000000000002</v>
          </cell>
          <cell r="I43">
            <v>0.156</v>
          </cell>
        </row>
        <row r="44">
          <cell r="A44">
            <v>2021</v>
          </cell>
          <cell r="D44">
            <v>0.51400000000000001</v>
          </cell>
          <cell r="E44">
            <v>0.13600000000000001</v>
          </cell>
          <cell r="F44">
            <v>0.183</v>
          </cell>
          <cell r="G44">
            <v>0.46800000000000003</v>
          </cell>
          <cell r="H44">
            <v>0.48599999999999999</v>
          </cell>
          <cell r="I44">
            <v>0.16500000000000001</v>
          </cell>
        </row>
        <row r="76">
          <cell r="A76">
            <v>2019</v>
          </cell>
          <cell r="D76">
            <v>0.59</v>
          </cell>
          <cell r="E76">
            <v>0.14799999999999999</v>
          </cell>
          <cell r="F76">
            <v>0.23100000000000001</v>
          </cell>
          <cell r="G76">
            <v>0.50700000000000001</v>
          </cell>
          <cell r="H76">
            <v>0.56699999999999995</v>
          </cell>
          <cell r="I76">
            <v>0.17</v>
          </cell>
        </row>
        <row r="77">
          <cell r="A77">
            <v>2020</v>
          </cell>
          <cell r="D77">
            <v>0.56699999999999995</v>
          </cell>
          <cell r="E77">
            <v>0.14299999999999999</v>
          </cell>
          <cell r="F77">
            <v>0.22</v>
          </cell>
          <cell r="G77">
            <v>0.49099999999999999</v>
          </cell>
          <cell r="H77">
            <v>0.54500000000000004</v>
          </cell>
          <cell r="I77">
            <v>0.16600000000000001</v>
          </cell>
        </row>
        <row r="107">
          <cell r="C107" t="str">
            <v>Total</v>
          </cell>
          <cell r="D107" t="str">
            <v>Public</v>
          </cell>
          <cell r="E107" t="str">
            <v>Private</v>
          </cell>
          <cell r="F107" t="str">
            <v>Two-year</v>
          </cell>
          <cell r="G107" t="str">
            <v>Four-year</v>
          </cell>
          <cell r="H107" t="str">
            <v>In-state</v>
          </cell>
          <cell r="I107" t="str">
            <v>Out-of-state</v>
          </cell>
        </row>
        <row r="108">
          <cell r="C108">
            <v>0.85899999999999999</v>
          </cell>
          <cell r="D108">
            <v>0.84499999999999997</v>
          </cell>
          <cell r="E108">
            <v>0.91300000000000003</v>
          </cell>
          <cell r="F108">
            <v>0.72799999999999998</v>
          </cell>
          <cell r="G108">
            <v>0.91400000000000003</v>
          </cell>
          <cell r="H108">
            <v>0.84199999999999997</v>
          </cell>
          <cell r="I108">
            <v>0.91700000000000004</v>
          </cell>
        </row>
        <row r="139">
          <cell r="A139">
            <v>2016</v>
          </cell>
          <cell r="D139">
            <v>0.379</v>
          </cell>
          <cell r="E139">
            <v>0.125</v>
          </cell>
          <cell r="F139">
            <v>9.1999999999999998E-2</v>
          </cell>
          <cell r="G139">
            <v>0.41099999999999998</v>
          </cell>
          <cell r="H139">
            <v>0.36699999999999999</v>
          </cell>
          <cell r="I139">
            <v>0.13700000000000001</v>
          </cell>
        </row>
      </sheetData>
      <sheetData sheetId="5">
        <row r="9">
          <cell r="D9" t="str">
            <v>Public</v>
          </cell>
          <cell r="E9" t="str">
            <v>Private</v>
          </cell>
          <cell r="F9" t="str">
            <v>Two-year</v>
          </cell>
          <cell r="G9" t="str">
            <v>Four-year</v>
          </cell>
          <cell r="H9" t="str">
            <v>In-state</v>
          </cell>
          <cell r="I9" t="str">
            <v>Out-of-state</v>
          </cell>
        </row>
        <row r="10">
          <cell r="A10">
            <v>2021</v>
          </cell>
          <cell r="D10">
            <v>0.44400000000000001</v>
          </cell>
          <cell r="E10">
            <v>7.4999999999999997E-2</v>
          </cell>
          <cell r="F10">
            <v>0.19700000000000001</v>
          </cell>
          <cell r="G10">
            <v>0.32200000000000001</v>
          </cell>
          <cell r="H10">
            <v>0.44800000000000001</v>
          </cell>
          <cell r="I10">
            <v>7.0999999999999994E-2</v>
          </cell>
        </row>
        <row r="11">
          <cell r="A11">
            <v>2022</v>
          </cell>
          <cell r="D11">
            <v>0.46700000000000003</v>
          </cell>
          <cell r="E11">
            <v>7.2999999999999995E-2</v>
          </cell>
          <cell r="F11">
            <v>0.21</v>
          </cell>
          <cell r="G11">
            <v>0.33</v>
          </cell>
          <cell r="H11">
            <v>0.47199999999999998</v>
          </cell>
          <cell r="I11">
            <v>6.8000000000000005E-2</v>
          </cell>
        </row>
        <row r="43">
          <cell r="A43">
            <v>2020</v>
          </cell>
          <cell r="D43">
            <v>0.49199999999999999</v>
          </cell>
          <cell r="E43">
            <v>7.8E-2</v>
          </cell>
          <cell r="F43">
            <v>0.24099999999999999</v>
          </cell>
          <cell r="G43">
            <v>0.32900000000000001</v>
          </cell>
          <cell r="H43">
            <v>0.501</v>
          </cell>
          <cell r="I43">
            <v>6.8000000000000005E-2</v>
          </cell>
        </row>
        <row r="44">
          <cell r="A44">
            <v>2021</v>
          </cell>
          <cell r="D44">
            <v>0.47799999999999998</v>
          </cell>
          <cell r="E44">
            <v>0.08</v>
          </cell>
          <cell r="F44">
            <v>0.219</v>
          </cell>
          <cell r="G44">
            <v>0.34</v>
          </cell>
          <cell r="H44">
            <v>0.48199999999999998</v>
          </cell>
          <cell r="I44">
            <v>7.5999999999999998E-2</v>
          </cell>
        </row>
        <row r="76">
          <cell r="A76">
            <v>2019</v>
          </cell>
          <cell r="D76">
            <v>0.56899999999999995</v>
          </cell>
          <cell r="E76">
            <v>8.2000000000000003E-2</v>
          </cell>
          <cell r="F76">
            <v>0.30099999999999999</v>
          </cell>
          <cell r="G76">
            <v>0.35099999999999998</v>
          </cell>
          <cell r="H76">
            <v>0.57499999999999996</v>
          </cell>
          <cell r="I76">
            <v>7.5999999999999998E-2</v>
          </cell>
        </row>
        <row r="77">
          <cell r="A77">
            <v>2020</v>
          </cell>
          <cell r="D77">
            <v>0.52800000000000002</v>
          </cell>
          <cell r="E77">
            <v>8.3000000000000004E-2</v>
          </cell>
          <cell r="F77">
            <v>0.26900000000000002</v>
          </cell>
          <cell r="G77">
            <v>0.34300000000000003</v>
          </cell>
          <cell r="H77">
            <v>0.53500000000000003</v>
          </cell>
          <cell r="I77">
            <v>7.5999999999999998E-2</v>
          </cell>
        </row>
        <row r="107">
          <cell r="C107" t="str">
            <v>Total</v>
          </cell>
          <cell r="D107" t="str">
            <v>Public</v>
          </cell>
          <cell r="E107" t="str">
            <v>Private</v>
          </cell>
          <cell r="F107" t="str">
            <v>Two-year</v>
          </cell>
          <cell r="G107" t="str">
            <v>Four-year</v>
          </cell>
          <cell r="H107" t="str">
            <v>In-state</v>
          </cell>
          <cell r="I107" t="str">
            <v>Out-of-state</v>
          </cell>
        </row>
        <row r="108">
          <cell r="C108">
            <v>0.77800000000000002</v>
          </cell>
          <cell r="D108">
            <v>0.77200000000000002</v>
          </cell>
          <cell r="E108">
            <v>0.82</v>
          </cell>
          <cell r="F108">
            <v>0.67600000000000005</v>
          </cell>
          <cell r="G108">
            <v>0.85299999999999998</v>
          </cell>
          <cell r="H108">
            <v>0.77100000000000002</v>
          </cell>
          <cell r="I108">
            <v>0.83099999999999996</v>
          </cell>
        </row>
        <row r="139">
          <cell r="A139">
            <v>2016</v>
          </cell>
          <cell r="D139">
            <v>0.26200000000000001</v>
          </cell>
          <cell r="E139">
            <v>5.6000000000000001E-2</v>
          </cell>
          <cell r="F139">
            <v>8.8999999999999996E-2</v>
          </cell>
          <cell r="G139">
            <v>0.22900000000000001</v>
          </cell>
          <cell r="H139">
            <v>0.27</v>
          </cell>
          <cell r="I139">
            <v>4.8000000000000001E-2</v>
          </cell>
        </row>
      </sheetData>
      <sheetData sheetId="6">
        <row r="9">
          <cell r="D9" t="str">
            <v>Public</v>
          </cell>
          <cell r="E9" t="str">
            <v>Private</v>
          </cell>
          <cell r="F9" t="str">
            <v>Two-year</v>
          </cell>
          <cell r="G9" t="str">
            <v>Four-year</v>
          </cell>
          <cell r="H9" t="str">
            <v>In-state</v>
          </cell>
          <cell r="I9" t="str">
            <v>Out-of-state</v>
          </cell>
        </row>
        <row r="10">
          <cell r="A10">
            <v>2021</v>
          </cell>
          <cell r="D10">
            <v>0.495</v>
          </cell>
          <cell r="E10">
            <v>0.13400000000000001</v>
          </cell>
          <cell r="F10">
            <v>0.17</v>
          </cell>
          <cell r="G10">
            <v>0.46</v>
          </cell>
          <cell r="H10">
            <v>0.46400000000000002</v>
          </cell>
          <cell r="I10">
            <v>0.16600000000000001</v>
          </cell>
        </row>
        <row r="11">
          <cell r="A11">
            <v>2022</v>
          </cell>
          <cell r="D11">
            <v>0.502</v>
          </cell>
          <cell r="E11">
            <v>0.13700000000000001</v>
          </cell>
          <cell r="F11">
            <v>0.16700000000000001</v>
          </cell>
          <cell r="G11">
            <v>0.47199999999999998</v>
          </cell>
          <cell r="H11">
            <v>0.46700000000000003</v>
          </cell>
          <cell r="I11">
            <v>0.17199999999999999</v>
          </cell>
        </row>
        <row r="43">
          <cell r="A43">
            <v>2020</v>
          </cell>
          <cell r="D43">
            <v>0.53100000000000003</v>
          </cell>
          <cell r="E43">
            <v>0.13800000000000001</v>
          </cell>
          <cell r="F43">
            <v>0.20100000000000001</v>
          </cell>
          <cell r="G43">
            <v>0.46700000000000003</v>
          </cell>
          <cell r="H43">
            <v>0.51200000000000001</v>
          </cell>
          <cell r="I43">
            <v>0.156</v>
          </cell>
        </row>
        <row r="44">
          <cell r="A44">
            <v>2021</v>
          </cell>
          <cell r="D44">
            <v>0.51700000000000002</v>
          </cell>
          <cell r="E44">
            <v>0.13900000000000001</v>
          </cell>
          <cell r="F44">
            <v>0.183</v>
          </cell>
          <cell r="G44">
            <v>0.47399999999999998</v>
          </cell>
          <cell r="H44">
            <v>0.48399999999999999</v>
          </cell>
          <cell r="I44">
            <v>0.17199999999999999</v>
          </cell>
        </row>
        <row r="76">
          <cell r="A76">
            <v>2019</v>
          </cell>
          <cell r="D76">
            <v>0.58399999999999996</v>
          </cell>
          <cell r="E76">
            <v>0.14799999999999999</v>
          </cell>
          <cell r="F76">
            <v>0.23200000000000001</v>
          </cell>
          <cell r="G76">
            <v>0.5</v>
          </cell>
          <cell r="H76">
            <v>0.56299999999999994</v>
          </cell>
          <cell r="I76">
            <v>0.16900000000000001</v>
          </cell>
        </row>
        <row r="77">
          <cell r="A77">
            <v>2020</v>
          </cell>
          <cell r="D77">
            <v>0.56100000000000005</v>
          </cell>
          <cell r="E77">
            <v>0.14399999999999999</v>
          </cell>
          <cell r="F77">
            <v>0.222</v>
          </cell>
          <cell r="G77">
            <v>0.48299999999999998</v>
          </cell>
          <cell r="H77">
            <v>0.53900000000000003</v>
          </cell>
          <cell r="I77">
            <v>0.16600000000000001</v>
          </cell>
        </row>
        <row r="107">
          <cell r="C107" t="str">
            <v>Total</v>
          </cell>
          <cell r="D107" t="str">
            <v>Public</v>
          </cell>
          <cell r="E107" t="str">
            <v>Private</v>
          </cell>
          <cell r="F107" t="str">
            <v>Two-year</v>
          </cell>
          <cell r="G107" t="str">
            <v>Four-year</v>
          </cell>
          <cell r="H107" t="str">
            <v>In-state</v>
          </cell>
          <cell r="I107" t="str">
            <v>Out-of-state</v>
          </cell>
        </row>
        <row r="108">
          <cell r="C108">
            <v>0.85499999999999998</v>
          </cell>
          <cell r="D108">
            <v>0.84</v>
          </cell>
          <cell r="E108">
            <v>0.91400000000000003</v>
          </cell>
          <cell r="F108">
            <v>0.72099999999999997</v>
          </cell>
          <cell r="G108">
            <v>0.91300000000000003</v>
          </cell>
          <cell r="H108">
            <v>0.83699999999999997</v>
          </cell>
          <cell r="I108">
            <v>0.91700000000000004</v>
          </cell>
        </row>
        <row r="139">
          <cell r="A139">
            <v>2016</v>
          </cell>
          <cell r="D139">
            <v>0.372</v>
          </cell>
          <cell r="E139">
            <v>0.123</v>
          </cell>
          <cell r="F139">
            <v>9.2999999999999999E-2</v>
          </cell>
          <cell r="G139">
            <v>0.40200000000000002</v>
          </cell>
          <cell r="H139">
            <v>0.36099999999999999</v>
          </cell>
          <cell r="I139">
            <v>0.13400000000000001</v>
          </cell>
        </row>
      </sheetData>
      <sheetData sheetId="7">
        <row r="9">
          <cell r="D9" t="str">
            <v>Public</v>
          </cell>
          <cell r="E9" t="str">
            <v>Private</v>
          </cell>
          <cell r="F9" t="str">
            <v>Two-year</v>
          </cell>
          <cell r="G9" t="str">
            <v>Four-year</v>
          </cell>
          <cell r="H9" t="str">
            <v>In-state</v>
          </cell>
          <cell r="I9" t="str">
            <v>Out-of-state</v>
          </cell>
        </row>
        <row r="10">
          <cell r="A10">
            <v>2021</v>
          </cell>
          <cell r="D10">
            <v>0.47512851</v>
          </cell>
          <cell r="E10">
            <v>9.2956571000000002E-2</v>
          </cell>
          <cell r="F10">
            <v>0.18345782399999999</v>
          </cell>
          <cell r="G10">
            <v>0.38461147200000001</v>
          </cell>
          <cell r="H10">
            <v>0.46058952199999997</v>
          </cell>
          <cell r="I10">
            <v>0.107495559</v>
          </cell>
        </row>
        <row r="11">
          <cell r="A11">
            <v>2022</v>
          </cell>
          <cell r="D11">
            <v>0.49393730800000002</v>
          </cell>
          <cell r="E11">
            <v>9.2193950999999996E-2</v>
          </cell>
          <cell r="F11">
            <v>0.197197768</v>
          </cell>
          <cell r="G11">
            <v>0.38893349100000002</v>
          </cell>
          <cell r="H11">
            <v>0.48152590099999998</v>
          </cell>
          <cell r="I11">
            <v>0.104605358</v>
          </cell>
        </row>
        <row r="43">
          <cell r="A43">
            <v>2020</v>
          </cell>
          <cell r="D43">
            <v>0.51656671499999995</v>
          </cell>
          <cell r="E43">
            <v>9.5705164999999995E-2</v>
          </cell>
          <cell r="F43">
            <v>0.223936784</v>
          </cell>
          <cell r="G43">
            <v>0.38830603800000002</v>
          </cell>
          <cell r="H43">
            <v>0.51246963099999998</v>
          </cell>
          <cell r="I43">
            <v>9.9802248999999996E-2</v>
          </cell>
        </row>
        <row r="44">
          <cell r="A44">
            <v>2021</v>
          </cell>
          <cell r="D44">
            <v>0.50348216700000004</v>
          </cell>
          <cell r="E44">
            <v>9.8231996000000002E-2</v>
          </cell>
          <cell r="F44">
            <v>0.20218839</v>
          </cell>
          <cell r="G44">
            <v>0.39950998900000001</v>
          </cell>
          <cell r="H44">
            <v>0.48900806899999999</v>
          </cell>
          <cell r="I44">
            <v>0.11270609299999999</v>
          </cell>
        </row>
        <row r="76">
          <cell r="A76">
            <v>2019</v>
          </cell>
          <cell r="D76">
            <v>0.58586756200000001</v>
          </cell>
          <cell r="E76">
            <v>0.10139382600000001</v>
          </cell>
          <cell r="F76">
            <v>0.27616344100000001</v>
          </cell>
          <cell r="G76">
            <v>0.411063389</v>
          </cell>
          <cell r="H76">
            <v>0.57740258</v>
          </cell>
          <cell r="I76">
            <v>0.109858807</v>
          </cell>
        </row>
        <row r="77">
          <cell r="A77">
            <v>2020</v>
          </cell>
          <cell r="D77">
            <v>0.55036200599999996</v>
          </cell>
          <cell r="E77">
            <v>0.10188146200000001</v>
          </cell>
          <cell r="F77">
            <v>0.24905039000000001</v>
          </cell>
          <cell r="G77">
            <v>0.40313011999999998</v>
          </cell>
          <cell r="H77">
            <v>0.54396454999999999</v>
          </cell>
          <cell r="I77">
            <v>0.108278918</v>
          </cell>
        </row>
        <row r="107">
          <cell r="C107" t="str">
            <v>Total</v>
          </cell>
          <cell r="D107" t="str">
            <v>Public</v>
          </cell>
          <cell r="E107" t="str">
            <v>Private</v>
          </cell>
          <cell r="F107" t="str">
            <v>Two-year</v>
          </cell>
          <cell r="G107" t="str">
            <v>Four-year</v>
          </cell>
          <cell r="H107" t="str">
            <v>In-state</v>
          </cell>
          <cell r="I107" t="str">
            <v>Out-of-state</v>
          </cell>
        </row>
        <row r="108">
          <cell r="C108">
            <v>0.80824771100000004</v>
          </cell>
          <cell r="D108">
            <v>0.79886873199999997</v>
          </cell>
          <cell r="E108">
            <v>0.85887055999999995</v>
          </cell>
          <cell r="F108">
            <v>0.68819428900000001</v>
          </cell>
          <cell r="G108">
            <v>0.877530743</v>
          </cell>
          <cell r="H108">
            <v>0.79435010100000003</v>
          </cell>
          <cell r="I108">
            <v>0.87960985999999997</v>
          </cell>
        </row>
        <row r="139">
          <cell r="A139">
            <v>2016</v>
          </cell>
          <cell r="D139">
            <v>0.30143090500000003</v>
          </cell>
          <cell r="E139">
            <v>7.6156892000000004E-2</v>
          </cell>
          <cell r="F139">
            <v>8.1300074999999999E-2</v>
          </cell>
          <cell r="G139">
            <v>0.29613770499999997</v>
          </cell>
          <cell r="H139">
            <v>0.299119529</v>
          </cell>
          <cell r="I139">
            <v>7.8468268999999993E-2</v>
          </cell>
        </row>
      </sheetData>
      <sheetData sheetId="8">
        <row r="9">
          <cell r="D9" t="str">
            <v>Public</v>
          </cell>
          <cell r="E9" t="str">
            <v>Private</v>
          </cell>
          <cell r="F9" t="str">
            <v>Two-year</v>
          </cell>
          <cell r="G9" t="str">
            <v>Four-year</v>
          </cell>
          <cell r="H9" t="str">
            <v>In-state</v>
          </cell>
          <cell r="I9" t="str">
            <v>Out-of-state</v>
          </cell>
        </row>
        <row r="10">
          <cell r="A10">
            <v>2021</v>
          </cell>
          <cell r="D10">
            <v>0.489734</v>
          </cell>
          <cell r="E10">
            <v>0.130662684</v>
          </cell>
          <cell r="F10">
            <v>0.17130352700000001</v>
          </cell>
          <cell r="G10">
            <v>0.449082549</v>
          </cell>
          <cell r="H10">
            <v>0.46685871800000001</v>
          </cell>
          <cell r="I10">
            <v>0.153537966</v>
          </cell>
        </row>
        <row r="11">
          <cell r="A11">
            <v>2022</v>
          </cell>
          <cell r="D11">
            <v>0.50529714400000003</v>
          </cell>
          <cell r="E11">
            <v>0.13180236400000001</v>
          </cell>
          <cell r="F11">
            <v>0.17381175800000001</v>
          </cell>
          <cell r="G11">
            <v>0.46328775</v>
          </cell>
          <cell r="H11">
            <v>0.47802290600000003</v>
          </cell>
          <cell r="I11">
            <v>0.15907660200000001</v>
          </cell>
        </row>
        <row r="43">
          <cell r="A43">
            <v>2020</v>
          </cell>
          <cell r="D43">
            <v>0.53349623599999996</v>
          </cell>
          <cell r="E43">
            <v>0.13243927799999999</v>
          </cell>
          <cell r="F43">
            <v>0.20972811499999999</v>
          </cell>
          <cell r="G43">
            <v>0.45619638200000001</v>
          </cell>
          <cell r="H43">
            <v>0.52151208699999996</v>
          </cell>
          <cell r="I43">
            <v>0.14442342699999999</v>
          </cell>
        </row>
        <row r="44">
          <cell r="A44">
            <v>2021</v>
          </cell>
          <cell r="D44">
            <v>0.51641888199999997</v>
          </cell>
          <cell r="E44">
            <v>0.136210886</v>
          </cell>
          <cell r="F44">
            <v>0.18726447800000001</v>
          </cell>
          <cell r="G44">
            <v>0.46535468099999999</v>
          </cell>
          <cell r="H44">
            <v>0.493310215</v>
          </cell>
          <cell r="I44">
            <v>0.159319553</v>
          </cell>
        </row>
        <row r="76">
          <cell r="A76">
            <v>2019</v>
          </cell>
          <cell r="D76">
            <v>0.59384818800000005</v>
          </cell>
          <cell r="E76">
            <v>0.141029717</v>
          </cell>
          <cell r="F76">
            <v>0.249699264</v>
          </cell>
          <cell r="G76">
            <v>0.48515223699999999</v>
          </cell>
          <cell r="H76">
            <v>0.57976559999999999</v>
          </cell>
          <cell r="I76">
            <v>0.15511230500000001</v>
          </cell>
        </row>
        <row r="77">
          <cell r="A77">
            <v>2020</v>
          </cell>
          <cell r="D77">
            <v>0.56583404900000001</v>
          </cell>
          <cell r="E77">
            <v>0.138387285</v>
          </cell>
          <cell r="F77">
            <v>0.23287455400000001</v>
          </cell>
          <cell r="G77">
            <v>0.47131152500000001</v>
          </cell>
          <cell r="H77">
            <v>0.55146034099999997</v>
          </cell>
          <cell r="I77">
            <v>0.15276099200000001</v>
          </cell>
        </row>
        <row r="107">
          <cell r="C107" t="str">
            <v>Total</v>
          </cell>
          <cell r="D107" t="str">
            <v>Public</v>
          </cell>
          <cell r="E107" t="str">
            <v>Private</v>
          </cell>
          <cell r="F107" t="str">
            <v>Two-year</v>
          </cell>
          <cell r="G107" t="str">
            <v>Four-year</v>
          </cell>
          <cell r="H107" t="str">
            <v>In-state</v>
          </cell>
          <cell r="I107" t="str">
            <v>Out-of-state</v>
          </cell>
        </row>
        <row r="108">
          <cell r="C108">
            <v>0.85247216999999997</v>
          </cell>
          <cell r="D108">
            <v>0.83863633500000001</v>
          </cell>
          <cell r="E108">
            <v>0.90820613100000003</v>
          </cell>
          <cell r="F108">
            <v>0.72546094400000005</v>
          </cell>
          <cell r="G108">
            <v>0.91088147699999999</v>
          </cell>
          <cell r="H108">
            <v>0.83433676400000001</v>
          </cell>
          <cell r="I108">
            <v>0.91795900600000002</v>
          </cell>
        </row>
        <row r="139">
          <cell r="A139">
            <v>2016</v>
          </cell>
          <cell r="D139">
            <v>0.35547261499999999</v>
          </cell>
          <cell r="E139">
            <v>0.119474926</v>
          </cell>
          <cell r="F139">
            <v>8.5850198000000003E-2</v>
          </cell>
          <cell r="G139">
            <v>0.38893008600000001</v>
          </cell>
          <cell r="H139">
            <v>0.34828285599999997</v>
          </cell>
          <cell r="I139">
            <v>0.126664686</v>
          </cell>
        </row>
      </sheetData>
      <sheetData sheetId="9">
        <row r="9">
          <cell r="D9" t="str">
            <v>Public</v>
          </cell>
          <cell r="E9" t="str">
            <v>Private</v>
          </cell>
          <cell r="F9" t="str">
            <v>Two-year</v>
          </cell>
          <cell r="G9" t="str">
            <v>Four-year</v>
          </cell>
          <cell r="H9" t="str">
            <v>In-state</v>
          </cell>
          <cell r="I9" t="str">
            <v>Out-of-state</v>
          </cell>
        </row>
        <row r="10">
          <cell r="A10">
            <v>2021</v>
          </cell>
          <cell r="D10">
            <v>0.44883261400000002</v>
          </cell>
          <cell r="E10">
            <v>9.4968380000000005E-2</v>
          </cell>
          <cell r="F10">
            <v>0.19379732799999999</v>
          </cell>
          <cell r="G10">
            <v>0.349991775</v>
          </cell>
          <cell r="H10">
            <v>0.43867781500000003</v>
          </cell>
          <cell r="I10">
            <v>0.105123179</v>
          </cell>
        </row>
        <row r="11">
          <cell r="A11">
            <v>2022</v>
          </cell>
          <cell r="D11">
            <v>0.45046904100000001</v>
          </cell>
          <cell r="E11">
            <v>9.5110433999999994E-2</v>
          </cell>
          <cell r="F11">
            <v>0.18990547099999999</v>
          </cell>
          <cell r="G11">
            <v>0.35567175200000001</v>
          </cell>
          <cell r="H11">
            <v>0.43909895399999999</v>
          </cell>
          <cell r="I11">
            <v>0.10648052199999999</v>
          </cell>
        </row>
        <row r="43">
          <cell r="A43">
            <v>2020</v>
          </cell>
          <cell r="D43">
            <v>0.480146609</v>
          </cell>
          <cell r="E43">
            <v>9.7808926000000004E-2</v>
          </cell>
          <cell r="F43">
            <v>0.22356673699999999</v>
          </cell>
          <cell r="G43">
            <v>0.35438505100000001</v>
          </cell>
          <cell r="H43">
            <v>0.47772685599999998</v>
          </cell>
          <cell r="I43">
            <v>0.100228678</v>
          </cell>
        </row>
        <row r="44">
          <cell r="A44">
            <v>2021</v>
          </cell>
          <cell r="D44">
            <v>0.472198165</v>
          </cell>
          <cell r="E44">
            <v>9.9653380999999999E-2</v>
          </cell>
          <cell r="F44">
            <v>0.20882539999999999</v>
          </cell>
          <cell r="G44">
            <v>0.36301029200000001</v>
          </cell>
          <cell r="H44">
            <v>0.46114164200000002</v>
          </cell>
          <cell r="I44">
            <v>0.110709904</v>
          </cell>
        </row>
        <row r="76">
          <cell r="A76">
            <v>2019</v>
          </cell>
          <cell r="D76">
            <v>0.54139408099999997</v>
          </cell>
          <cell r="E76">
            <v>0.108438017</v>
          </cell>
          <cell r="F76">
            <v>0.26091729299999999</v>
          </cell>
          <cell r="G76">
            <v>0.38890554900000002</v>
          </cell>
          <cell r="H76">
            <v>0.53681242799999995</v>
          </cell>
          <cell r="I76">
            <v>0.113019671</v>
          </cell>
        </row>
        <row r="77">
          <cell r="A77">
            <v>2020</v>
          </cell>
          <cell r="D77">
            <v>0.51181314700000002</v>
          </cell>
          <cell r="E77">
            <v>0.10327958800000001</v>
          </cell>
          <cell r="F77">
            <v>0.24651505100000001</v>
          </cell>
          <cell r="G77">
            <v>0.36856832</v>
          </cell>
          <cell r="H77">
            <v>0.50648669599999996</v>
          </cell>
          <cell r="I77">
            <v>0.108606039</v>
          </cell>
        </row>
        <row r="107">
          <cell r="C107" t="str">
            <v>Total</v>
          </cell>
          <cell r="D107" t="str">
            <v>Public</v>
          </cell>
          <cell r="E107" t="str">
            <v>Private</v>
          </cell>
          <cell r="F107" t="str">
            <v>Two-year</v>
          </cell>
          <cell r="G107" t="str">
            <v>Four-year</v>
          </cell>
          <cell r="H107" t="str">
            <v>In-state</v>
          </cell>
          <cell r="I107" t="str">
            <v>Out-of-state</v>
          </cell>
        </row>
        <row r="108">
          <cell r="C108">
            <v>0.79638229000000005</v>
          </cell>
          <cell r="D108">
            <v>0.78134251799999999</v>
          </cell>
          <cell r="E108">
            <v>0.87021292900000002</v>
          </cell>
          <cell r="F108">
            <v>0.67289375100000004</v>
          </cell>
          <cell r="G108">
            <v>0.87429447199999999</v>
          </cell>
          <cell r="H108">
            <v>0.78271267099999997</v>
          </cell>
          <cell r="I108">
            <v>0.861536737</v>
          </cell>
        </row>
        <row r="139">
          <cell r="A139">
            <v>2016</v>
          </cell>
          <cell r="D139">
            <v>0.31989929</v>
          </cell>
          <cell r="E139">
            <v>8.4689819999999999E-2</v>
          </cell>
          <cell r="F139">
            <v>0.112582315</v>
          </cell>
          <cell r="G139">
            <v>0.29195044199999998</v>
          </cell>
          <cell r="H139">
            <v>0.32141275800000002</v>
          </cell>
          <cell r="I139">
            <v>8.3176350999999996E-2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l DATA"/>
      <sheetName val="Public Charter Schools"/>
    </sheetNames>
    <sheetDataSet>
      <sheetData sheetId="0" refreshError="1"/>
      <sheetData sheetId="1">
        <row r="9">
          <cell r="D9" t="str">
            <v>Public</v>
          </cell>
          <cell r="E9" t="str">
            <v>Private</v>
          </cell>
          <cell r="F9" t="str">
            <v>Two-year</v>
          </cell>
          <cell r="G9" t="str">
            <v>Four-year</v>
          </cell>
          <cell r="H9" t="str">
            <v>In-state</v>
          </cell>
          <cell r="I9" t="str">
            <v>Out-of-state</v>
          </cell>
        </row>
        <row r="10">
          <cell r="A10">
            <v>2021</v>
          </cell>
          <cell r="D10">
            <v>0.38400000000000001</v>
          </cell>
          <cell r="E10">
            <v>0.1</v>
          </cell>
          <cell r="F10">
            <v>0.14899999999999999</v>
          </cell>
          <cell r="G10">
            <v>0.33400000000000002</v>
          </cell>
          <cell r="H10">
            <v>0.39800000000000002</v>
          </cell>
          <cell r="I10">
            <v>8.5999999999999993E-2</v>
          </cell>
        </row>
        <row r="11">
          <cell r="A11">
            <v>2022</v>
          </cell>
          <cell r="D11">
            <v>0.38200000000000001</v>
          </cell>
          <cell r="E11">
            <v>0.10199999999999999</v>
          </cell>
          <cell r="F11">
            <v>0.14799999999999999</v>
          </cell>
          <cell r="G11">
            <v>0.33700000000000002</v>
          </cell>
          <cell r="H11">
            <v>0.40400000000000003</v>
          </cell>
          <cell r="I11">
            <v>8.1000000000000003E-2</v>
          </cell>
        </row>
        <row r="43">
          <cell r="A43">
            <v>2020</v>
          </cell>
          <cell r="D43">
            <v>0.41899999999999998</v>
          </cell>
          <cell r="E43">
            <v>0.108</v>
          </cell>
          <cell r="F43">
            <v>0.182</v>
          </cell>
          <cell r="G43">
            <v>0.34399999999999997</v>
          </cell>
          <cell r="H43">
            <v>0.44</v>
          </cell>
          <cell r="I43">
            <v>8.5999999999999993E-2</v>
          </cell>
        </row>
        <row r="44">
          <cell r="A44">
            <v>2021</v>
          </cell>
          <cell r="D44">
            <v>0.41399999999999998</v>
          </cell>
          <cell r="E44">
            <v>0.107</v>
          </cell>
          <cell r="F44">
            <v>0.16900000000000001</v>
          </cell>
          <cell r="G44">
            <v>0.35199999999999998</v>
          </cell>
          <cell r="H44">
            <v>0.42799999999999999</v>
          </cell>
          <cell r="I44">
            <v>9.2999999999999999E-2</v>
          </cell>
        </row>
        <row r="76">
          <cell r="A76">
            <v>2019</v>
          </cell>
          <cell r="D76">
            <v>0.47899999999999998</v>
          </cell>
          <cell r="E76">
            <v>0.11</v>
          </cell>
          <cell r="F76">
            <v>0.23400000000000001</v>
          </cell>
          <cell r="G76">
            <v>0.35499999999999998</v>
          </cell>
          <cell r="H76">
            <v>0.49399999999999999</v>
          </cell>
          <cell r="I76">
            <v>9.5000000000000001E-2</v>
          </cell>
        </row>
        <row r="77">
          <cell r="A77">
            <v>2020</v>
          </cell>
          <cell r="D77">
            <v>0.45500000000000002</v>
          </cell>
          <cell r="E77">
            <v>0.11600000000000001</v>
          </cell>
          <cell r="F77">
            <v>0.21</v>
          </cell>
          <cell r="G77">
            <v>0.36099999999999999</v>
          </cell>
          <cell r="H77">
            <v>0.47499999999999998</v>
          </cell>
          <cell r="I77">
            <v>9.6000000000000002E-2</v>
          </cell>
        </row>
        <row r="107">
          <cell r="C107" t="str">
            <v>Total</v>
          </cell>
          <cell r="D107" t="str">
            <v>Public</v>
          </cell>
          <cell r="E107" t="str">
            <v>Private</v>
          </cell>
          <cell r="F107" t="str">
            <v>Two-year</v>
          </cell>
          <cell r="G107" t="str">
            <v>Four-year</v>
          </cell>
          <cell r="H107" t="str">
            <v>In-state</v>
          </cell>
          <cell r="I107" t="str">
            <v>Out-of-state</v>
          </cell>
        </row>
        <row r="108">
          <cell r="C108">
            <v>0.76400000000000001</v>
          </cell>
          <cell r="D108">
            <v>0.754</v>
          </cell>
          <cell r="E108">
            <v>0.80600000000000005</v>
          </cell>
          <cell r="F108">
            <v>0.65800000000000003</v>
          </cell>
          <cell r="G108">
            <v>0.82099999999999995</v>
          </cell>
          <cell r="H108">
            <v>0.754</v>
          </cell>
          <cell r="I108">
            <v>0.81499999999999995</v>
          </cell>
        </row>
        <row r="139">
          <cell r="A139">
            <v>2016</v>
          </cell>
          <cell r="D139">
            <v>0.23400000000000001</v>
          </cell>
          <cell r="E139">
            <v>7.2999999999999995E-2</v>
          </cell>
          <cell r="F139">
            <v>7.2999999999999995E-2</v>
          </cell>
          <cell r="G139">
            <v>0.23400000000000001</v>
          </cell>
          <cell r="H139">
            <v>0.247</v>
          </cell>
          <cell r="I139">
            <v>0.06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l DATA"/>
      <sheetName val="Private Schools"/>
    </sheetNames>
    <sheetDataSet>
      <sheetData sheetId="0"/>
      <sheetData sheetId="1">
        <row r="9">
          <cell r="D9" t="str">
            <v>Public</v>
          </cell>
          <cell r="E9" t="str">
            <v>Private</v>
          </cell>
          <cell r="F9" t="str">
            <v>Two-year</v>
          </cell>
          <cell r="G9" t="str">
            <v>Four-year</v>
          </cell>
          <cell r="H9" t="str">
            <v>In-state</v>
          </cell>
          <cell r="I9" t="str">
            <v>Out-of-state</v>
          </cell>
        </row>
        <row r="21">
          <cell r="A21">
            <v>2020</v>
          </cell>
          <cell r="D21">
            <v>0.500578521</v>
          </cell>
          <cell r="E21">
            <v>0.35500157799999998</v>
          </cell>
          <cell r="F21">
            <v>8.4639388999999995E-2</v>
          </cell>
          <cell r="G21">
            <v>0.77083552499999997</v>
          </cell>
          <cell r="H21">
            <v>0.517022545</v>
          </cell>
          <cell r="I21">
            <v>0.33855755399999998</v>
          </cell>
        </row>
        <row r="22">
          <cell r="A22">
            <v>2021</v>
          </cell>
          <cell r="D22" t="str">
            <v>*</v>
          </cell>
          <cell r="E22" t="str">
            <v>*</v>
          </cell>
          <cell r="F22" t="str">
            <v>*</v>
          </cell>
          <cell r="G22" t="str">
            <v>*</v>
          </cell>
          <cell r="H22" t="str">
            <v>*</v>
          </cell>
          <cell r="I22" t="str">
            <v>*</v>
          </cell>
        </row>
        <row r="54">
          <cell r="A54">
            <v>2019</v>
          </cell>
          <cell r="D54">
            <v>0.51846327000000003</v>
          </cell>
          <cell r="E54">
            <v>0.384323107</v>
          </cell>
          <cell r="F54">
            <v>8.3732056999999999E-2</v>
          </cell>
          <cell r="G54">
            <v>0.81902617499999997</v>
          </cell>
          <cell r="H54">
            <v>0.52426118799999999</v>
          </cell>
          <cell r="I54">
            <v>0.37852519000000001</v>
          </cell>
        </row>
        <row r="55">
          <cell r="A55">
            <v>2020</v>
          </cell>
          <cell r="D55">
            <v>0.51597068800000001</v>
          </cell>
          <cell r="E55">
            <v>0.36541495699999998</v>
          </cell>
          <cell r="F55">
            <v>9.2142632000000002E-2</v>
          </cell>
          <cell r="G55">
            <v>0.78910276599999996</v>
          </cell>
          <cell r="H55">
            <v>0.530170751</v>
          </cell>
          <cell r="I55">
            <v>0.351214894</v>
          </cell>
        </row>
        <row r="85">
          <cell r="C85" t="str">
            <v>Total</v>
          </cell>
          <cell r="D85" t="str">
            <v>Public</v>
          </cell>
          <cell r="E85" t="str">
            <v>Private</v>
          </cell>
          <cell r="F85" t="str">
            <v>Two-year</v>
          </cell>
          <cell r="G85" t="str">
            <v>Four-year</v>
          </cell>
          <cell r="H85" t="str">
            <v>In-state</v>
          </cell>
          <cell r="I85" t="str">
            <v>Out-of-state</v>
          </cell>
        </row>
        <row r="86">
          <cell r="C86">
            <v>0.91963773500000001</v>
          </cell>
          <cell r="D86">
            <v>0.90144988400000003</v>
          </cell>
          <cell r="E86">
            <v>0.94528395099999996</v>
          </cell>
          <cell r="F86">
            <v>0.74067936999999995</v>
          </cell>
          <cell r="G86">
            <v>0.93941323600000004</v>
          </cell>
          <cell r="H86">
            <v>0.89685338400000003</v>
          </cell>
          <cell r="I86">
            <v>0.954432477</v>
          </cell>
        </row>
        <row r="117">
          <cell r="A117">
            <v>2016</v>
          </cell>
          <cell r="D117">
            <v>0.39400000000000002</v>
          </cell>
          <cell r="E117">
            <v>0.32300000000000001</v>
          </cell>
          <cell r="F117">
            <v>4.3999999999999997E-2</v>
          </cell>
          <cell r="G117">
            <v>0.67300000000000004</v>
          </cell>
          <cell r="H117">
            <v>0.41199999999999998</v>
          </cell>
          <cell r="I117">
            <v>0.30599999999999999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l DATA"/>
      <sheetName val="High Poverty"/>
      <sheetName val="Low Poverty"/>
      <sheetName val="Lower Income"/>
      <sheetName val="Higher Income"/>
      <sheetName val="High Minority"/>
      <sheetName val="Low Minority"/>
      <sheetName val="Urban"/>
      <sheetName val="Suburban"/>
      <sheetName val="Rural"/>
    </sheetNames>
    <sheetDataSet>
      <sheetData sheetId="0" refreshError="1"/>
      <sheetData sheetId="1">
        <row r="9">
          <cell r="D9" t="str">
            <v>Public</v>
          </cell>
        </row>
        <row r="10">
          <cell r="D10">
            <v>0.42099999999999999</v>
          </cell>
          <cell r="E10">
            <v>5.1999999999999998E-2</v>
          </cell>
          <cell r="F10">
            <v>0.21199999999999999</v>
          </cell>
          <cell r="G10">
            <v>0.26</v>
          </cell>
          <cell r="H10">
            <v>0.43099999999999999</v>
          </cell>
          <cell r="I10">
            <v>4.2000000000000003E-2</v>
          </cell>
        </row>
        <row r="11">
          <cell r="D11">
            <v>0.443</v>
          </cell>
          <cell r="E11">
            <v>5.7000000000000002E-2</v>
          </cell>
          <cell r="F11">
            <v>0.23</v>
          </cell>
          <cell r="G11">
            <v>0.26900000000000002</v>
          </cell>
          <cell r="H11">
            <v>0.46100000000000002</v>
          </cell>
          <cell r="I11">
            <v>3.7999999999999999E-2</v>
          </cell>
        </row>
        <row r="43">
          <cell r="D43">
            <v>0.45500000000000002</v>
          </cell>
          <cell r="E43">
            <v>6.2E-2</v>
          </cell>
          <cell r="F43">
            <v>0.25</v>
          </cell>
          <cell r="G43">
            <v>0.26700000000000002</v>
          </cell>
          <cell r="H43">
            <v>0.47399999999999998</v>
          </cell>
          <cell r="I43">
            <v>4.2999999999999997E-2</v>
          </cell>
        </row>
        <row r="44">
          <cell r="D44">
            <v>0.45300000000000001</v>
          </cell>
          <cell r="E44">
            <v>5.7000000000000002E-2</v>
          </cell>
          <cell r="F44">
            <v>0.23499999999999999</v>
          </cell>
          <cell r="G44">
            <v>0.27600000000000002</v>
          </cell>
          <cell r="H44">
            <v>0.46400000000000002</v>
          </cell>
          <cell r="I44">
            <v>4.5999999999999999E-2</v>
          </cell>
        </row>
        <row r="76">
          <cell r="D76">
            <v>0.55100000000000005</v>
          </cell>
          <cell r="E76">
            <v>6.7000000000000004E-2</v>
          </cell>
          <cell r="F76">
            <v>0.32100000000000001</v>
          </cell>
          <cell r="G76">
            <v>0.29699999999999999</v>
          </cell>
          <cell r="H76">
            <v>0.56899999999999995</v>
          </cell>
          <cell r="I76">
            <v>4.9000000000000002E-2</v>
          </cell>
        </row>
        <row r="77">
          <cell r="D77">
            <v>0.48899999999999999</v>
          </cell>
          <cell r="E77">
            <v>6.8000000000000005E-2</v>
          </cell>
          <cell r="F77">
            <v>0.27800000000000002</v>
          </cell>
          <cell r="G77">
            <v>0.27900000000000003</v>
          </cell>
          <cell r="H77">
            <v>0.50800000000000001</v>
          </cell>
          <cell r="I77">
            <v>4.9000000000000002E-2</v>
          </cell>
        </row>
        <row r="108">
          <cell r="C108">
            <v>0.72</v>
          </cell>
          <cell r="E108">
            <v>0.746</v>
          </cell>
          <cell r="F108">
            <v>0.63200000000000001</v>
          </cell>
          <cell r="G108">
            <v>0.80200000000000005</v>
          </cell>
          <cell r="H108">
            <v>0.71799999999999997</v>
          </cell>
          <cell r="I108">
            <v>0.74199999999999999</v>
          </cell>
        </row>
        <row r="139">
          <cell r="D139">
            <v>0.21</v>
          </cell>
          <cell r="E139">
            <v>3.9E-2</v>
          </cell>
          <cell r="F139">
            <v>8.4000000000000005E-2</v>
          </cell>
          <cell r="G139">
            <v>0.16400000000000001</v>
          </cell>
          <cell r="H139">
            <v>0.224</v>
          </cell>
          <cell r="I139">
            <v>2.5000000000000001E-2</v>
          </cell>
        </row>
      </sheetData>
      <sheetData sheetId="2">
        <row r="9">
          <cell r="D9" t="str">
            <v>Public</v>
          </cell>
        </row>
        <row r="10">
          <cell r="D10">
            <v>0.54900000000000004</v>
          </cell>
          <cell r="E10">
            <v>0.161</v>
          </cell>
          <cell r="F10">
            <v>0.16</v>
          </cell>
          <cell r="G10">
            <v>0.55100000000000005</v>
          </cell>
          <cell r="H10">
            <v>0.48499999999999999</v>
          </cell>
          <cell r="I10">
            <v>0.22500000000000001</v>
          </cell>
        </row>
        <row r="11">
          <cell r="D11">
            <v>0.55400000000000005</v>
          </cell>
          <cell r="E11">
            <v>0.155</v>
          </cell>
          <cell r="F11">
            <v>0.16300000000000001</v>
          </cell>
          <cell r="G11">
            <v>0.54700000000000004</v>
          </cell>
          <cell r="H11">
            <v>0.47699999999999998</v>
          </cell>
          <cell r="I11">
            <v>0.23200000000000001</v>
          </cell>
        </row>
        <row r="43">
          <cell r="D43">
            <v>0.59199999999999997</v>
          </cell>
          <cell r="E43">
            <v>0.16300000000000001</v>
          </cell>
          <cell r="F43">
            <v>0.187</v>
          </cell>
          <cell r="G43">
            <v>0.56799999999999995</v>
          </cell>
          <cell r="H43">
            <v>0.53800000000000003</v>
          </cell>
          <cell r="I43">
            <v>0.217</v>
          </cell>
        </row>
        <row r="44">
          <cell r="D44">
            <v>0.56999999999999995</v>
          </cell>
          <cell r="E44">
            <v>0.16600000000000001</v>
          </cell>
          <cell r="F44">
            <v>0.17100000000000001</v>
          </cell>
          <cell r="G44">
            <v>0.56599999999999995</v>
          </cell>
          <cell r="H44">
            <v>0.505</v>
          </cell>
          <cell r="I44">
            <v>0.23100000000000001</v>
          </cell>
        </row>
        <row r="76">
          <cell r="D76">
            <v>0.63300000000000001</v>
          </cell>
          <cell r="E76">
            <v>0.17799999999999999</v>
          </cell>
          <cell r="F76">
            <v>0.20699999999999999</v>
          </cell>
          <cell r="G76">
            <v>0.60399999999999998</v>
          </cell>
          <cell r="H76">
            <v>0.57499999999999996</v>
          </cell>
          <cell r="I76">
            <v>0.23599999999999999</v>
          </cell>
        </row>
        <row r="77">
          <cell r="D77">
            <v>0.621</v>
          </cell>
          <cell r="E77">
            <v>0.16900000000000001</v>
          </cell>
          <cell r="F77">
            <v>0.20499999999999999</v>
          </cell>
          <cell r="G77">
            <v>0.58399999999999996</v>
          </cell>
          <cell r="H77">
            <v>0.56299999999999994</v>
          </cell>
          <cell r="I77">
            <v>0.22700000000000001</v>
          </cell>
        </row>
        <row r="108">
          <cell r="C108">
            <v>0.89700000000000002</v>
          </cell>
          <cell r="F108">
            <v>0.76800000000000002</v>
          </cell>
          <cell r="G108">
            <v>0.93899999999999995</v>
          </cell>
          <cell r="H108">
            <v>0.879</v>
          </cell>
          <cell r="I108">
            <v>0.94099999999999995</v>
          </cell>
        </row>
        <row r="139">
          <cell r="D139">
            <v>0.441</v>
          </cell>
          <cell r="E139">
            <v>0.155</v>
          </cell>
          <cell r="F139">
            <v>8.5999999999999993E-2</v>
          </cell>
          <cell r="G139">
            <v>0.51</v>
          </cell>
          <cell r="H139">
            <v>0.40500000000000003</v>
          </cell>
          <cell r="I139">
            <v>0.192</v>
          </cell>
        </row>
      </sheetData>
      <sheetData sheetId="3">
        <row r="9">
          <cell r="D9" t="str">
            <v>Public</v>
          </cell>
        </row>
        <row r="10">
          <cell r="D10">
            <v>0.437</v>
          </cell>
          <cell r="E10">
            <v>6.0999999999999999E-2</v>
          </cell>
          <cell r="F10">
            <v>0.20899999999999999</v>
          </cell>
          <cell r="G10">
            <v>0.28799999999999998</v>
          </cell>
          <cell r="H10">
            <v>0.44400000000000001</v>
          </cell>
          <cell r="I10">
            <v>5.2999999999999999E-2</v>
          </cell>
        </row>
        <row r="11">
          <cell r="D11">
            <v>0.46100000000000002</v>
          </cell>
          <cell r="E11">
            <v>6.3E-2</v>
          </cell>
          <cell r="F11">
            <v>0.23100000000000001</v>
          </cell>
          <cell r="G11">
            <v>0.29299999999999998</v>
          </cell>
          <cell r="H11">
            <v>0.47299999999999998</v>
          </cell>
          <cell r="I11">
            <v>5.0999999999999997E-2</v>
          </cell>
        </row>
        <row r="43">
          <cell r="D43">
            <v>0.47699999999999998</v>
          </cell>
          <cell r="E43">
            <v>6.9000000000000006E-2</v>
          </cell>
          <cell r="F43">
            <v>0.251</v>
          </cell>
          <cell r="G43">
            <v>0.29499999999999998</v>
          </cell>
          <cell r="H43">
            <v>0.49099999999999999</v>
          </cell>
          <cell r="I43">
            <v>5.5E-2</v>
          </cell>
        </row>
        <row r="44">
          <cell r="D44">
            <v>0.47</v>
          </cell>
          <cell r="E44">
            <v>6.6000000000000003E-2</v>
          </cell>
          <cell r="F44">
            <v>0.23200000000000001</v>
          </cell>
          <cell r="G44">
            <v>0.30499999999999999</v>
          </cell>
          <cell r="H44">
            <v>0.47799999999999998</v>
          </cell>
          <cell r="I44">
            <v>5.8000000000000003E-2</v>
          </cell>
        </row>
        <row r="76">
          <cell r="D76">
            <v>0.55700000000000005</v>
          </cell>
          <cell r="E76">
            <v>7.3999999999999996E-2</v>
          </cell>
          <cell r="F76">
            <v>0.313</v>
          </cell>
          <cell r="G76">
            <v>0.318</v>
          </cell>
          <cell r="H76">
            <v>0.56899999999999995</v>
          </cell>
          <cell r="I76">
            <v>6.0999999999999999E-2</v>
          </cell>
        </row>
        <row r="77">
          <cell r="D77">
            <v>0.51200000000000001</v>
          </cell>
          <cell r="E77">
            <v>7.3999999999999996E-2</v>
          </cell>
          <cell r="F77">
            <v>0.27900000000000003</v>
          </cell>
          <cell r="G77">
            <v>0.308</v>
          </cell>
          <cell r="H77">
            <v>0.52500000000000002</v>
          </cell>
          <cell r="I77">
            <v>6.2E-2</v>
          </cell>
        </row>
        <row r="108">
          <cell r="C108">
            <v>0.755</v>
          </cell>
          <cell r="D108">
            <v>0.748</v>
          </cell>
          <cell r="E108">
            <v>0.79600000000000004</v>
          </cell>
          <cell r="F108">
            <v>0.66100000000000003</v>
          </cell>
          <cell r="G108">
            <v>0.83399999999999996</v>
          </cell>
          <cell r="H108">
            <v>0.75</v>
          </cell>
          <cell r="I108">
            <v>0.79400000000000004</v>
          </cell>
        </row>
        <row r="139">
          <cell r="D139">
            <v>0.24299999999999999</v>
          </cell>
          <cell r="E139">
            <v>4.9000000000000002E-2</v>
          </cell>
          <cell r="F139">
            <v>9.0999999999999998E-2</v>
          </cell>
          <cell r="G139">
            <v>0.20100000000000001</v>
          </cell>
          <cell r="H139">
            <v>0.255</v>
          </cell>
          <cell r="I139">
            <v>3.6999999999999998E-2</v>
          </cell>
        </row>
      </sheetData>
      <sheetData sheetId="4">
        <row r="9">
          <cell r="D9" t="str">
            <v>Public</v>
          </cell>
        </row>
        <row r="10">
          <cell r="D10">
            <v>0.49099999999999999</v>
          </cell>
          <cell r="E10">
            <v>0.13100000000000001</v>
          </cell>
          <cell r="F10">
            <v>0.16900000000000001</v>
          </cell>
          <cell r="G10">
            <v>0.45300000000000001</v>
          </cell>
          <cell r="H10">
            <v>0.46300000000000002</v>
          </cell>
          <cell r="I10">
            <v>0.159</v>
          </cell>
        </row>
        <row r="11">
          <cell r="D11">
            <v>0.5</v>
          </cell>
          <cell r="E11">
            <v>0.13200000000000001</v>
          </cell>
          <cell r="F11">
            <v>0.16400000000000001</v>
          </cell>
          <cell r="G11">
            <v>0.46800000000000003</v>
          </cell>
          <cell r="H11">
            <v>0.46700000000000003</v>
          </cell>
          <cell r="I11">
            <v>0.16500000000000001</v>
          </cell>
        </row>
        <row r="43">
          <cell r="D43">
            <v>0.53600000000000003</v>
          </cell>
          <cell r="E43">
            <v>0.13700000000000001</v>
          </cell>
          <cell r="F43">
            <v>0.19900000000000001</v>
          </cell>
          <cell r="G43">
            <v>0.47499999999999998</v>
          </cell>
          <cell r="H43">
            <v>0.51700000000000002</v>
          </cell>
          <cell r="I43">
            <v>0.156</v>
          </cell>
        </row>
        <row r="44">
          <cell r="D44">
            <v>0.51400000000000001</v>
          </cell>
          <cell r="E44">
            <v>0.13600000000000001</v>
          </cell>
          <cell r="F44">
            <v>0.183</v>
          </cell>
          <cell r="G44">
            <v>0.46800000000000003</v>
          </cell>
          <cell r="H44">
            <v>0.48599999999999999</v>
          </cell>
          <cell r="I44">
            <v>0.16500000000000001</v>
          </cell>
        </row>
        <row r="76">
          <cell r="D76">
            <v>0.59</v>
          </cell>
          <cell r="E76">
            <v>0.14799999999999999</v>
          </cell>
          <cell r="F76">
            <v>0.23100000000000001</v>
          </cell>
          <cell r="G76">
            <v>0.50700000000000001</v>
          </cell>
          <cell r="H76">
            <v>0.56699999999999995</v>
          </cell>
          <cell r="I76">
            <v>0.17</v>
          </cell>
        </row>
        <row r="77">
          <cell r="D77">
            <v>0.56699999999999995</v>
          </cell>
          <cell r="E77">
            <v>0.14299999999999999</v>
          </cell>
          <cell r="F77">
            <v>0.22</v>
          </cell>
          <cell r="G77">
            <v>0.49099999999999999</v>
          </cell>
          <cell r="H77">
            <v>0.54500000000000004</v>
          </cell>
          <cell r="I77">
            <v>0.16600000000000001</v>
          </cell>
        </row>
        <row r="108">
          <cell r="C108">
            <v>0.85899999999999999</v>
          </cell>
          <cell r="F108">
            <v>0.72799999999999998</v>
          </cell>
          <cell r="G108">
            <v>0.91400000000000003</v>
          </cell>
          <cell r="H108">
            <v>0.84199999999999997</v>
          </cell>
          <cell r="I108">
            <v>0.91700000000000004</v>
          </cell>
        </row>
        <row r="139">
          <cell r="D139">
            <v>0.379</v>
          </cell>
          <cell r="E139">
            <v>0.125</v>
          </cell>
          <cell r="F139">
            <v>9.1999999999999998E-2</v>
          </cell>
          <cell r="G139">
            <v>0.41099999999999998</v>
          </cell>
          <cell r="H139">
            <v>0.36699999999999999</v>
          </cell>
          <cell r="I139">
            <v>0.13700000000000001</v>
          </cell>
        </row>
      </sheetData>
      <sheetData sheetId="5">
        <row r="9">
          <cell r="D9" t="str">
            <v>Public</v>
          </cell>
        </row>
        <row r="10">
          <cell r="D10">
            <v>0.44400000000000001</v>
          </cell>
          <cell r="E10">
            <v>7.4999999999999997E-2</v>
          </cell>
          <cell r="F10">
            <v>0.19700000000000001</v>
          </cell>
          <cell r="G10">
            <v>0.32200000000000001</v>
          </cell>
          <cell r="H10">
            <v>0.44800000000000001</v>
          </cell>
          <cell r="I10">
            <v>7.0999999999999994E-2</v>
          </cell>
        </row>
        <row r="11">
          <cell r="D11">
            <v>0.46700000000000003</v>
          </cell>
          <cell r="E11">
            <v>7.2999999999999995E-2</v>
          </cell>
          <cell r="F11">
            <v>0.21</v>
          </cell>
          <cell r="G11">
            <v>0.33</v>
          </cell>
          <cell r="H11">
            <v>0.47199999999999998</v>
          </cell>
          <cell r="I11">
            <v>6.8000000000000005E-2</v>
          </cell>
        </row>
        <row r="43">
          <cell r="D43">
            <v>0.49199999999999999</v>
          </cell>
          <cell r="E43">
            <v>7.8E-2</v>
          </cell>
          <cell r="F43">
            <v>0.24099999999999999</v>
          </cell>
          <cell r="G43">
            <v>0.32900000000000001</v>
          </cell>
          <cell r="H43">
            <v>0.501</v>
          </cell>
          <cell r="I43">
            <v>6.8000000000000005E-2</v>
          </cell>
        </row>
        <row r="44">
          <cell r="D44">
            <v>0.47799999999999998</v>
          </cell>
          <cell r="E44">
            <v>0.08</v>
          </cell>
          <cell r="F44">
            <v>0.219</v>
          </cell>
          <cell r="G44">
            <v>0.34</v>
          </cell>
          <cell r="H44">
            <v>0.48199999999999998</v>
          </cell>
          <cell r="I44">
            <v>7.5999999999999998E-2</v>
          </cell>
        </row>
        <row r="76">
          <cell r="D76">
            <v>0.56899999999999995</v>
          </cell>
          <cell r="E76">
            <v>8.2000000000000003E-2</v>
          </cell>
          <cell r="F76">
            <v>0.30099999999999999</v>
          </cell>
          <cell r="G76">
            <v>0.35099999999999998</v>
          </cell>
          <cell r="H76">
            <v>0.57499999999999996</v>
          </cell>
          <cell r="I76">
            <v>7.5999999999999998E-2</v>
          </cell>
        </row>
        <row r="77">
          <cell r="D77">
            <v>0.52800000000000002</v>
          </cell>
          <cell r="E77">
            <v>8.3000000000000004E-2</v>
          </cell>
          <cell r="F77">
            <v>0.26900000000000002</v>
          </cell>
          <cell r="G77">
            <v>0.34300000000000003</v>
          </cell>
          <cell r="H77">
            <v>0.53500000000000003</v>
          </cell>
          <cell r="I77">
            <v>7.5999999999999998E-2</v>
          </cell>
        </row>
        <row r="108">
          <cell r="C108">
            <v>0.77800000000000002</v>
          </cell>
          <cell r="F108">
            <v>0.67600000000000005</v>
          </cell>
          <cell r="G108">
            <v>0.85299999999999998</v>
          </cell>
          <cell r="H108">
            <v>0.77100000000000002</v>
          </cell>
          <cell r="I108">
            <v>0.83099999999999996</v>
          </cell>
        </row>
        <row r="139">
          <cell r="D139">
            <v>0.26200000000000001</v>
          </cell>
          <cell r="E139">
            <v>5.6000000000000001E-2</v>
          </cell>
          <cell r="F139">
            <v>8.8999999999999996E-2</v>
          </cell>
          <cell r="G139">
            <v>0.22900000000000001</v>
          </cell>
          <cell r="H139">
            <v>0.27</v>
          </cell>
          <cell r="I139">
            <v>4.8000000000000001E-2</v>
          </cell>
        </row>
      </sheetData>
      <sheetData sheetId="6">
        <row r="9">
          <cell r="D9" t="str">
            <v>Public</v>
          </cell>
        </row>
        <row r="10">
          <cell r="D10">
            <v>0.495</v>
          </cell>
          <cell r="E10">
            <v>0.13400000000000001</v>
          </cell>
          <cell r="F10">
            <v>0.17</v>
          </cell>
          <cell r="G10">
            <v>0.46</v>
          </cell>
          <cell r="H10">
            <v>0.46400000000000002</v>
          </cell>
          <cell r="I10">
            <v>0.16600000000000001</v>
          </cell>
        </row>
        <row r="11">
          <cell r="D11">
            <v>0.502</v>
          </cell>
          <cell r="E11">
            <v>0.13700000000000001</v>
          </cell>
          <cell r="F11">
            <v>0.16700000000000001</v>
          </cell>
          <cell r="G11">
            <v>0.47199999999999998</v>
          </cell>
          <cell r="H11">
            <v>0.46700000000000003</v>
          </cell>
          <cell r="I11">
            <v>0.17199999999999999</v>
          </cell>
        </row>
        <row r="43">
          <cell r="D43">
            <v>0.53100000000000003</v>
          </cell>
          <cell r="E43">
            <v>0.13800000000000001</v>
          </cell>
          <cell r="F43">
            <v>0.20100000000000001</v>
          </cell>
          <cell r="G43">
            <v>0.46700000000000003</v>
          </cell>
          <cell r="H43">
            <v>0.51200000000000001</v>
          </cell>
          <cell r="I43">
            <v>0.156</v>
          </cell>
        </row>
        <row r="44">
          <cell r="D44">
            <v>0.51700000000000002</v>
          </cell>
          <cell r="E44">
            <v>0.13900000000000001</v>
          </cell>
          <cell r="F44">
            <v>0.183</v>
          </cell>
          <cell r="G44">
            <v>0.47399999999999998</v>
          </cell>
          <cell r="H44">
            <v>0.48399999999999999</v>
          </cell>
          <cell r="I44">
            <v>0.17199999999999999</v>
          </cell>
        </row>
        <row r="76">
          <cell r="D76">
            <v>0.58399999999999996</v>
          </cell>
          <cell r="E76">
            <v>0.14799999999999999</v>
          </cell>
          <cell r="F76">
            <v>0.23200000000000001</v>
          </cell>
          <cell r="G76">
            <v>0.5</v>
          </cell>
          <cell r="H76">
            <v>0.56299999999999994</v>
          </cell>
          <cell r="I76">
            <v>0.16900000000000001</v>
          </cell>
        </row>
        <row r="77">
          <cell r="D77">
            <v>0.56100000000000005</v>
          </cell>
          <cell r="E77">
            <v>0.14399999999999999</v>
          </cell>
          <cell r="F77">
            <v>0.222</v>
          </cell>
          <cell r="G77">
            <v>0.48299999999999998</v>
          </cell>
          <cell r="H77">
            <v>0.53900000000000003</v>
          </cell>
          <cell r="I77">
            <v>0.16600000000000001</v>
          </cell>
        </row>
        <row r="108">
          <cell r="C108">
            <v>0.85499999999999998</v>
          </cell>
          <cell r="F108">
            <v>0.72099999999999997</v>
          </cell>
          <cell r="G108">
            <v>0.91300000000000003</v>
          </cell>
          <cell r="H108">
            <v>0.83699999999999997</v>
          </cell>
          <cell r="I108">
            <v>0.91700000000000004</v>
          </cell>
        </row>
        <row r="139">
          <cell r="D139">
            <v>0.372</v>
          </cell>
          <cell r="E139">
            <v>0.123</v>
          </cell>
          <cell r="F139">
            <v>9.2999999999999999E-2</v>
          </cell>
          <cell r="G139">
            <v>0.40200000000000002</v>
          </cell>
          <cell r="H139">
            <v>0.36099999999999999</v>
          </cell>
          <cell r="I139">
            <v>0.13400000000000001</v>
          </cell>
        </row>
      </sheetData>
      <sheetData sheetId="7">
        <row r="9">
          <cell r="D9" t="str">
            <v>Public</v>
          </cell>
        </row>
        <row r="10">
          <cell r="D10">
            <v>0.47512851</v>
          </cell>
          <cell r="E10">
            <v>9.2956571000000002E-2</v>
          </cell>
          <cell r="F10">
            <v>0.18345782399999999</v>
          </cell>
          <cell r="G10">
            <v>0.38461147200000001</v>
          </cell>
          <cell r="H10">
            <v>0.46058952199999997</v>
          </cell>
          <cell r="I10">
            <v>0.107495559</v>
          </cell>
        </row>
        <row r="11">
          <cell r="D11">
            <v>0.49393730800000002</v>
          </cell>
          <cell r="E11">
            <v>9.2193950999999996E-2</v>
          </cell>
          <cell r="F11">
            <v>0.197197768</v>
          </cell>
          <cell r="G11">
            <v>0.38893349100000002</v>
          </cell>
          <cell r="H11">
            <v>0.48152590099999998</v>
          </cell>
          <cell r="I11">
            <v>0.104605358</v>
          </cell>
        </row>
        <row r="43">
          <cell r="D43">
            <v>0.51656671499999995</v>
          </cell>
          <cell r="E43">
            <v>9.5705164999999995E-2</v>
          </cell>
          <cell r="F43">
            <v>0.223936784</v>
          </cell>
          <cell r="G43">
            <v>0.38830603800000002</v>
          </cell>
          <cell r="H43">
            <v>0.51246963099999998</v>
          </cell>
          <cell r="I43">
            <v>9.9802248999999996E-2</v>
          </cell>
        </row>
        <row r="44">
          <cell r="D44">
            <v>0.50348216700000004</v>
          </cell>
          <cell r="E44">
            <v>9.8231996000000002E-2</v>
          </cell>
          <cell r="F44">
            <v>0.20218839</v>
          </cell>
          <cell r="G44">
            <v>0.39950998900000001</v>
          </cell>
          <cell r="H44">
            <v>0.48900806899999999</v>
          </cell>
          <cell r="I44">
            <v>0.11270609299999999</v>
          </cell>
        </row>
        <row r="76">
          <cell r="D76">
            <v>0.58586756200000001</v>
          </cell>
          <cell r="E76">
            <v>0.10139382600000001</v>
          </cell>
          <cell r="F76">
            <v>0.27616344100000001</v>
          </cell>
          <cell r="G76">
            <v>0.411063389</v>
          </cell>
          <cell r="H76">
            <v>0.57740258</v>
          </cell>
          <cell r="I76">
            <v>0.109858807</v>
          </cell>
        </row>
        <row r="77">
          <cell r="D77">
            <v>0.55036200599999996</v>
          </cell>
          <cell r="E77">
            <v>0.10188146200000001</v>
          </cell>
          <cell r="F77">
            <v>0.24905039000000001</v>
          </cell>
          <cell r="G77">
            <v>0.40313011999999998</v>
          </cell>
          <cell r="H77">
            <v>0.54396454999999999</v>
          </cell>
          <cell r="I77">
            <v>0.108278918</v>
          </cell>
        </row>
        <row r="108">
          <cell r="C108">
            <v>0.80824771100000004</v>
          </cell>
          <cell r="F108">
            <v>0.68819428900000001</v>
          </cell>
          <cell r="G108">
            <v>0.877530743</v>
          </cell>
          <cell r="H108">
            <v>0.79435010100000003</v>
          </cell>
          <cell r="I108">
            <v>0.87960985999999997</v>
          </cell>
        </row>
        <row r="139">
          <cell r="D139">
            <v>0.30143090500000003</v>
          </cell>
          <cell r="E139">
            <v>7.6156892000000004E-2</v>
          </cell>
          <cell r="F139">
            <v>8.1300074999999999E-2</v>
          </cell>
          <cell r="G139">
            <v>0.29613770499999997</v>
          </cell>
          <cell r="H139">
            <v>0.299119529</v>
          </cell>
          <cell r="I139">
            <v>7.8468268999999993E-2</v>
          </cell>
        </row>
      </sheetData>
      <sheetData sheetId="8">
        <row r="9">
          <cell r="D9" t="str">
            <v>Public</v>
          </cell>
        </row>
        <row r="10">
          <cell r="D10">
            <v>0.489734</v>
          </cell>
          <cell r="E10">
            <v>0.130662684</v>
          </cell>
          <cell r="F10">
            <v>0.17130352700000001</v>
          </cell>
          <cell r="G10">
            <v>0.449082549</v>
          </cell>
          <cell r="H10">
            <v>0.46685871800000001</v>
          </cell>
          <cell r="I10">
            <v>0.153537966</v>
          </cell>
        </row>
        <row r="11">
          <cell r="D11">
            <v>0.50529714400000003</v>
          </cell>
          <cell r="E11">
            <v>0.13180236400000001</v>
          </cell>
          <cell r="F11">
            <v>0.17381175800000001</v>
          </cell>
          <cell r="G11">
            <v>0.46328775</v>
          </cell>
          <cell r="H11">
            <v>0.47802290600000003</v>
          </cell>
          <cell r="I11">
            <v>0.15907660200000001</v>
          </cell>
        </row>
        <row r="43">
          <cell r="D43">
            <v>0.53349623599999996</v>
          </cell>
          <cell r="E43">
            <v>0.13243927799999999</v>
          </cell>
          <cell r="F43">
            <v>0.20972811499999999</v>
          </cell>
          <cell r="G43">
            <v>0.45619638200000001</v>
          </cell>
          <cell r="H43">
            <v>0.52151208699999996</v>
          </cell>
          <cell r="I43">
            <v>0.14442342699999999</v>
          </cell>
        </row>
        <row r="44">
          <cell r="D44">
            <v>0.51641888199999997</v>
          </cell>
          <cell r="E44">
            <v>0.136210886</v>
          </cell>
          <cell r="F44">
            <v>0.18726447800000001</v>
          </cell>
          <cell r="G44">
            <v>0.46535468099999999</v>
          </cell>
          <cell r="H44">
            <v>0.493310215</v>
          </cell>
          <cell r="I44">
            <v>0.159319553</v>
          </cell>
        </row>
        <row r="76">
          <cell r="D76">
            <v>0.59384818800000005</v>
          </cell>
          <cell r="E76">
            <v>0.141029717</v>
          </cell>
          <cell r="F76">
            <v>0.249699264</v>
          </cell>
          <cell r="G76">
            <v>0.48515223699999999</v>
          </cell>
          <cell r="H76">
            <v>0.57976559999999999</v>
          </cell>
          <cell r="I76">
            <v>0.15511230500000001</v>
          </cell>
        </row>
        <row r="77">
          <cell r="D77">
            <v>0.56583404900000001</v>
          </cell>
          <cell r="E77">
            <v>0.138387285</v>
          </cell>
          <cell r="F77">
            <v>0.23287455400000001</v>
          </cell>
          <cell r="G77">
            <v>0.47131152500000001</v>
          </cell>
          <cell r="H77">
            <v>0.55146034099999997</v>
          </cell>
          <cell r="I77">
            <v>0.15276099200000001</v>
          </cell>
        </row>
        <row r="108">
          <cell r="C108">
            <v>0.85247216999999997</v>
          </cell>
          <cell r="F108">
            <v>0.72546094400000005</v>
          </cell>
          <cell r="G108">
            <v>0.91088147699999999</v>
          </cell>
          <cell r="H108">
            <v>0.83433676400000001</v>
          </cell>
          <cell r="I108">
            <v>0.91795900600000002</v>
          </cell>
        </row>
        <row r="139">
          <cell r="D139">
            <v>0.35547261499999999</v>
          </cell>
          <cell r="E139">
            <v>0.119474926</v>
          </cell>
          <cell r="F139">
            <v>8.5850198000000003E-2</v>
          </cell>
          <cell r="G139">
            <v>0.38893008600000001</v>
          </cell>
          <cell r="H139">
            <v>0.34828285599999997</v>
          </cell>
          <cell r="I139">
            <v>0.126664686</v>
          </cell>
        </row>
      </sheetData>
      <sheetData sheetId="9">
        <row r="9">
          <cell r="D9" t="str">
            <v>Public</v>
          </cell>
        </row>
        <row r="10">
          <cell r="D10">
            <v>0.44883261400000002</v>
          </cell>
          <cell r="E10">
            <v>9.4968380000000005E-2</v>
          </cell>
          <cell r="F10">
            <v>0.19379732799999999</v>
          </cell>
          <cell r="G10">
            <v>0.349991775</v>
          </cell>
          <cell r="H10">
            <v>0.43867781500000003</v>
          </cell>
          <cell r="I10">
            <v>0.105123179</v>
          </cell>
        </row>
        <row r="11">
          <cell r="D11">
            <v>0.45046904100000001</v>
          </cell>
          <cell r="E11">
            <v>9.5110433999999994E-2</v>
          </cell>
          <cell r="F11">
            <v>0.18990547099999999</v>
          </cell>
          <cell r="G11">
            <v>0.35567175200000001</v>
          </cell>
          <cell r="H11">
            <v>0.43909895399999999</v>
          </cell>
          <cell r="I11">
            <v>0.10648052199999999</v>
          </cell>
        </row>
        <row r="43">
          <cell r="D43">
            <v>0.480146609</v>
          </cell>
          <cell r="E43">
            <v>9.7808926000000004E-2</v>
          </cell>
          <cell r="F43">
            <v>0.22356673699999999</v>
          </cell>
          <cell r="G43">
            <v>0.35438505100000001</v>
          </cell>
          <cell r="H43">
            <v>0.47772685599999998</v>
          </cell>
          <cell r="I43">
            <v>0.100228678</v>
          </cell>
        </row>
        <row r="44">
          <cell r="D44">
            <v>0.472198165</v>
          </cell>
          <cell r="E44">
            <v>9.9653380999999999E-2</v>
          </cell>
          <cell r="F44">
            <v>0.20882539999999999</v>
          </cell>
          <cell r="G44">
            <v>0.36301029200000001</v>
          </cell>
          <cell r="H44">
            <v>0.46114164200000002</v>
          </cell>
          <cell r="I44">
            <v>0.110709904</v>
          </cell>
        </row>
        <row r="76">
          <cell r="D76">
            <v>0.54139408099999997</v>
          </cell>
          <cell r="E76">
            <v>0.108438017</v>
          </cell>
          <cell r="F76">
            <v>0.26091729299999999</v>
          </cell>
          <cell r="G76">
            <v>0.38890554900000002</v>
          </cell>
          <cell r="H76">
            <v>0.53681242799999995</v>
          </cell>
          <cell r="I76">
            <v>0.113019671</v>
          </cell>
        </row>
        <row r="77">
          <cell r="D77">
            <v>0.51181314700000002</v>
          </cell>
          <cell r="E77">
            <v>0.10327958800000001</v>
          </cell>
          <cell r="F77">
            <v>0.24651505100000001</v>
          </cell>
          <cell r="G77">
            <v>0.36856832</v>
          </cell>
          <cell r="H77">
            <v>0.50648669599999996</v>
          </cell>
          <cell r="I77">
            <v>0.108606039</v>
          </cell>
        </row>
        <row r="108">
          <cell r="C108">
            <v>0.79638229000000005</v>
          </cell>
          <cell r="F108">
            <v>0.67289375100000004</v>
          </cell>
          <cell r="G108">
            <v>0.87429447199999999</v>
          </cell>
          <cell r="H108">
            <v>0.78271267099999997</v>
          </cell>
          <cell r="I108">
            <v>0.861536737</v>
          </cell>
        </row>
        <row r="139">
          <cell r="D139">
            <v>0.31989929</v>
          </cell>
          <cell r="E139">
            <v>8.4689819999999999E-2</v>
          </cell>
          <cell r="F139">
            <v>0.112582315</v>
          </cell>
          <cell r="G139">
            <v>0.29195044199999998</v>
          </cell>
          <cell r="H139">
            <v>0.32141275800000002</v>
          </cell>
          <cell r="I139">
            <v>8.3176350999999996E-2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l DATA"/>
      <sheetName val="Public Charter Schools"/>
    </sheetNames>
    <sheetDataSet>
      <sheetData sheetId="0" refreshError="1"/>
      <sheetData sheetId="1">
        <row r="9">
          <cell r="D9" t="str">
            <v>Public</v>
          </cell>
        </row>
        <row r="10">
          <cell r="D10">
            <v>0.38400000000000001</v>
          </cell>
          <cell r="E10">
            <v>0.1</v>
          </cell>
          <cell r="F10">
            <v>0.14899999999999999</v>
          </cell>
          <cell r="G10">
            <v>0.33400000000000002</v>
          </cell>
          <cell r="H10">
            <v>0.39800000000000002</v>
          </cell>
          <cell r="I10">
            <v>8.5999999999999993E-2</v>
          </cell>
        </row>
        <row r="11">
          <cell r="D11">
            <v>0.38200000000000001</v>
          </cell>
          <cell r="E11">
            <v>0.10199999999999999</v>
          </cell>
          <cell r="F11">
            <v>0.14799999999999999</v>
          </cell>
          <cell r="G11">
            <v>0.33700000000000002</v>
          </cell>
          <cell r="H11">
            <v>0.40400000000000003</v>
          </cell>
          <cell r="I11">
            <v>8.1000000000000003E-2</v>
          </cell>
        </row>
        <row r="43">
          <cell r="D43">
            <v>0.41899999999999998</v>
          </cell>
          <cell r="E43">
            <v>0.108</v>
          </cell>
          <cell r="F43">
            <v>0.182</v>
          </cell>
          <cell r="G43">
            <v>0.34399999999999997</v>
          </cell>
          <cell r="H43">
            <v>0.44</v>
          </cell>
          <cell r="I43">
            <v>8.5999999999999993E-2</v>
          </cell>
        </row>
        <row r="44">
          <cell r="D44">
            <v>0.41399999999999998</v>
          </cell>
          <cell r="E44">
            <v>0.107</v>
          </cell>
          <cell r="F44">
            <v>0.16900000000000001</v>
          </cell>
          <cell r="G44">
            <v>0.35199999999999998</v>
          </cell>
          <cell r="H44">
            <v>0.42799999999999999</v>
          </cell>
          <cell r="I44">
            <v>9.2999999999999999E-2</v>
          </cell>
        </row>
        <row r="76">
          <cell r="D76">
            <v>0.47899999999999998</v>
          </cell>
          <cell r="E76">
            <v>0.11</v>
          </cell>
          <cell r="F76">
            <v>0.23400000000000001</v>
          </cell>
          <cell r="G76">
            <v>0.35499999999999998</v>
          </cell>
          <cell r="H76">
            <v>0.49399999999999999</v>
          </cell>
          <cell r="I76">
            <v>9.5000000000000001E-2</v>
          </cell>
        </row>
        <row r="77">
          <cell r="D77">
            <v>0.45500000000000002</v>
          </cell>
          <cell r="E77">
            <v>0.11600000000000001</v>
          </cell>
          <cell r="F77">
            <v>0.21</v>
          </cell>
          <cell r="G77">
            <v>0.36099999999999999</v>
          </cell>
          <cell r="H77">
            <v>0.47499999999999998</v>
          </cell>
          <cell r="I77">
            <v>9.6000000000000002E-2</v>
          </cell>
        </row>
        <row r="108">
          <cell r="C108">
            <v>0.76400000000000001</v>
          </cell>
          <cell r="F108">
            <v>0.65800000000000003</v>
          </cell>
          <cell r="G108">
            <v>0.82099999999999995</v>
          </cell>
          <cell r="H108">
            <v>0.754</v>
          </cell>
          <cell r="I108">
            <v>0.81499999999999995</v>
          </cell>
        </row>
        <row r="139">
          <cell r="D139">
            <v>0.23400000000000001</v>
          </cell>
          <cell r="E139">
            <v>7.2999999999999995E-2</v>
          </cell>
          <cell r="F139">
            <v>7.2999999999999995E-2</v>
          </cell>
          <cell r="G139">
            <v>0.23400000000000001</v>
          </cell>
          <cell r="H139">
            <v>0.247</v>
          </cell>
          <cell r="I139">
            <v>0.06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l DATA"/>
      <sheetName val="Private Schools"/>
    </sheetNames>
    <sheetDataSet>
      <sheetData sheetId="0"/>
      <sheetData sheetId="1">
        <row r="9">
          <cell r="D9" t="str">
            <v>Public</v>
          </cell>
        </row>
        <row r="21">
          <cell r="D21">
            <v>0.500578521</v>
          </cell>
          <cell r="E21">
            <v>0.35500157799999998</v>
          </cell>
          <cell r="F21">
            <v>8.4639388999999995E-2</v>
          </cell>
          <cell r="G21">
            <v>0.77083552499999997</v>
          </cell>
          <cell r="H21">
            <v>0.517022545</v>
          </cell>
          <cell r="I21">
            <v>0.33855755399999998</v>
          </cell>
        </row>
        <row r="22">
          <cell r="D22" t="str">
            <v>*</v>
          </cell>
          <cell r="E22" t="str">
            <v>*</v>
          </cell>
          <cell r="F22" t="str">
            <v>*</v>
          </cell>
          <cell r="G22" t="str">
            <v>*</v>
          </cell>
          <cell r="H22" t="str">
            <v>*</v>
          </cell>
          <cell r="I22" t="str">
            <v>*</v>
          </cell>
        </row>
        <row r="54">
          <cell r="D54">
            <v>0.51846327000000003</v>
          </cell>
          <cell r="E54">
            <v>0.384323107</v>
          </cell>
          <cell r="F54">
            <v>8.3732056999999999E-2</v>
          </cell>
          <cell r="G54">
            <v>0.81902617499999997</v>
          </cell>
          <cell r="H54">
            <v>0.52426118799999999</v>
          </cell>
          <cell r="I54">
            <v>0.37852519000000001</v>
          </cell>
        </row>
        <row r="55">
          <cell r="D55">
            <v>0.51597068800000001</v>
          </cell>
          <cell r="E55">
            <v>0.36541495699999998</v>
          </cell>
          <cell r="F55">
            <v>9.2142632000000002E-2</v>
          </cell>
          <cell r="G55">
            <v>0.78910276599999996</v>
          </cell>
          <cell r="H55">
            <v>0.530170751</v>
          </cell>
          <cell r="I55">
            <v>0.351214894</v>
          </cell>
        </row>
        <row r="86">
          <cell r="C86">
            <v>0.91963773500000001</v>
          </cell>
          <cell r="F86">
            <v>0.74067936999999995</v>
          </cell>
          <cell r="G86">
            <v>0.93941323600000004</v>
          </cell>
          <cell r="H86">
            <v>0.89685338400000003</v>
          </cell>
          <cell r="I86">
            <v>0.954432477</v>
          </cell>
        </row>
        <row r="117">
          <cell r="D117">
            <v>0.39400000000000002</v>
          </cell>
          <cell r="E117">
            <v>0.32300000000000001</v>
          </cell>
          <cell r="F117">
            <v>4.3999999999999997E-2</v>
          </cell>
          <cell r="G117">
            <v>0.67300000000000004</v>
          </cell>
          <cell r="H117">
            <v>0.41199999999999998</v>
          </cell>
          <cell r="I117">
            <v>0.30599999999999999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CC367-5481-41F0-9566-02142161AA79}">
  <dimension ref="A1:N82"/>
  <sheetViews>
    <sheetView tabSelected="1" zoomScale="80" zoomScaleNormal="80" workbookViewId="0">
      <selection sqref="A1:B1"/>
    </sheetView>
  </sheetViews>
  <sheetFormatPr defaultRowHeight="14.4" x14ac:dyDescent="0.3"/>
  <cols>
    <col min="1" max="1" width="33.5546875" bestFit="1" customWidth="1"/>
    <col min="2" max="2" width="141.88671875" bestFit="1" customWidth="1"/>
  </cols>
  <sheetData>
    <row r="1" spans="1:14" ht="21" x14ac:dyDescent="0.3">
      <c r="A1" s="93" t="s">
        <v>0</v>
      </c>
      <c r="B1" s="93"/>
    </row>
    <row r="2" spans="1:14" ht="18" x14ac:dyDescent="0.3">
      <c r="A2" s="94">
        <v>45188</v>
      </c>
      <c r="B2" s="94"/>
    </row>
    <row r="3" spans="1:14" x14ac:dyDescent="0.3">
      <c r="A3" s="79" t="s">
        <v>1</v>
      </c>
      <c r="B3" s="80" t="s">
        <v>2</v>
      </c>
    </row>
    <row r="4" spans="1:14" x14ac:dyDescent="0.3">
      <c r="A4" s="95" t="s">
        <v>3</v>
      </c>
      <c r="B4" s="70" t="s">
        <v>4</v>
      </c>
    </row>
    <row r="5" spans="1:14" x14ac:dyDescent="0.3">
      <c r="A5" s="95"/>
      <c r="B5" s="71" t="s">
        <v>5</v>
      </c>
    </row>
    <row r="6" spans="1:14" x14ac:dyDescent="0.3">
      <c r="A6" s="95"/>
      <c r="B6" s="72" t="s">
        <v>6</v>
      </c>
    </row>
    <row r="7" spans="1:14" x14ac:dyDescent="0.3">
      <c r="A7" s="95"/>
      <c r="B7" s="72" t="s">
        <v>7</v>
      </c>
    </row>
    <row r="8" spans="1:14" x14ac:dyDescent="0.3">
      <c r="A8" s="95"/>
      <c r="B8" s="72" t="s">
        <v>8</v>
      </c>
    </row>
    <row r="9" spans="1:14" x14ac:dyDescent="0.3">
      <c r="A9" s="95"/>
      <c r="B9" s="72" t="s">
        <v>9</v>
      </c>
    </row>
    <row r="10" spans="1:14" x14ac:dyDescent="0.3">
      <c r="A10" s="95"/>
      <c r="B10" s="72" t="s">
        <v>10</v>
      </c>
    </row>
    <row r="11" spans="1:14" x14ac:dyDescent="0.3">
      <c r="A11" s="95"/>
      <c r="B11" s="72" t="s">
        <v>11</v>
      </c>
    </row>
    <row r="12" spans="1:14" x14ac:dyDescent="0.3">
      <c r="A12" s="95"/>
      <c r="B12" s="72" t="s">
        <v>12</v>
      </c>
    </row>
    <row r="13" spans="1:14" x14ac:dyDescent="0.3">
      <c r="A13" s="95"/>
      <c r="B13" s="72" t="s">
        <v>13</v>
      </c>
    </row>
    <row r="14" spans="1:14" x14ac:dyDescent="0.3">
      <c r="A14" s="95"/>
      <c r="B14" s="72" t="s">
        <v>14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4" x14ac:dyDescent="0.3">
      <c r="A15" s="95"/>
      <c r="B15" s="72" t="s">
        <v>15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14" ht="14.4" customHeight="1" x14ac:dyDescent="0.3">
      <c r="A16" s="95"/>
      <c r="B16" s="72" t="s">
        <v>16</v>
      </c>
      <c r="C16" s="29"/>
      <c r="D16" s="29"/>
      <c r="E16" s="29"/>
      <c r="F16" s="29"/>
      <c r="G16" s="29"/>
    </row>
    <row r="17" spans="1:7" x14ac:dyDescent="0.3">
      <c r="A17" s="95"/>
      <c r="B17" s="73" t="s">
        <v>17</v>
      </c>
      <c r="C17" s="29"/>
      <c r="D17" s="29"/>
      <c r="E17" s="29"/>
      <c r="F17" s="29"/>
      <c r="G17" s="29"/>
    </row>
    <row r="18" spans="1:7" x14ac:dyDescent="0.3">
      <c r="A18" s="95" t="s">
        <v>18</v>
      </c>
      <c r="B18" s="70" t="s">
        <v>19</v>
      </c>
    </row>
    <row r="19" spans="1:7" x14ac:dyDescent="0.3">
      <c r="A19" s="95"/>
      <c r="B19" s="71" t="s">
        <v>20</v>
      </c>
    </row>
    <row r="20" spans="1:7" x14ac:dyDescent="0.3">
      <c r="A20" s="95"/>
      <c r="B20" s="71" t="s">
        <v>21</v>
      </c>
    </row>
    <row r="21" spans="1:7" x14ac:dyDescent="0.3">
      <c r="A21" s="96" t="s">
        <v>399</v>
      </c>
      <c r="B21" s="70" t="s">
        <v>466</v>
      </c>
    </row>
    <row r="22" spans="1:7" x14ac:dyDescent="0.3">
      <c r="A22" s="97"/>
      <c r="B22" s="71" t="s">
        <v>467</v>
      </c>
    </row>
    <row r="23" spans="1:7" x14ac:dyDescent="0.3">
      <c r="A23" s="97"/>
      <c r="B23" s="71" t="s">
        <v>406</v>
      </c>
    </row>
    <row r="24" spans="1:7" x14ac:dyDescent="0.3">
      <c r="A24" s="97"/>
      <c r="B24" s="71" t="s">
        <v>407</v>
      </c>
    </row>
    <row r="25" spans="1:7" x14ac:dyDescent="0.3">
      <c r="A25" s="97"/>
      <c r="B25" s="71" t="s">
        <v>408</v>
      </c>
    </row>
    <row r="26" spans="1:7" x14ac:dyDescent="0.3">
      <c r="A26" s="97"/>
      <c r="B26" s="71" t="s">
        <v>409</v>
      </c>
    </row>
    <row r="27" spans="1:7" x14ac:dyDescent="0.3">
      <c r="A27" s="97"/>
      <c r="B27" s="71" t="s">
        <v>410</v>
      </c>
    </row>
    <row r="28" spans="1:7" x14ac:dyDescent="0.3">
      <c r="A28" s="97"/>
      <c r="B28" s="71" t="s">
        <v>411</v>
      </c>
    </row>
    <row r="29" spans="1:7" x14ac:dyDescent="0.3">
      <c r="A29" s="97"/>
      <c r="B29" s="71" t="s">
        <v>412</v>
      </c>
    </row>
    <row r="30" spans="1:7" x14ac:dyDescent="0.3">
      <c r="A30" s="98"/>
      <c r="B30" s="71" t="s">
        <v>413</v>
      </c>
    </row>
    <row r="31" spans="1:7" x14ac:dyDescent="0.3">
      <c r="A31" s="96" t="s">
        <v>400</v>
      </c>
      <c r="B31" s="70" t="s">
        <v>414</v>
      </c>
    </row>
    <row r="32" spans="1:7" x14ac:dyDescent="0.3">
      <c r="A32" s="97"/>
      <c r="B32" s="71" t="s">
        <v>415</v>
      </c>
    </row>
    <row r="33" spans="1:2" x14ac:dyDescent="0.3">
      <c r="A33" s="97"/>
      <c r="B33" s="71" t="s">
        <v>416</v>
      </c>
    </row>
    <row r="34" spans="1:2" x14ac:dyDescent="0.3">
      <c r="A34" s="97"/>
      <c r="B34" s="71" t="s">
        <v>417</v>
      </c>
    </row>
    <row r="35" spans="1:2" x14ac:dyDescent="0.3">
      <c r="A35" s="97"/>
      <c r="B35" s="71" t="s">
        <v>418</v>
      </c>
    </row>
    <row r="36" spans="1:2" x14ac:dyDescent="0.3">
      <c r="A36" s="97"/>
      <c r="B36" s="71" t="s">
        <v>419</v>
      </c>
    </row>
    <row r="37" spans="1:2" x14ac:dyDescent="0.3">
      <c r="A37" s="97"/>
      <c r="B37" s="71" t="s">
        <v>420</v>
      </c>
    </row>
    <row r="38" spans="1:2" x14ac:dyDescent="0.3">
      <c r="A38" s="97"/>
      <c r="B38" s="71" t="s">
        <v>421</v>
      </c>
    </row>
    <row r="39" spans="1:2" x14ac:dyDescent="0.3">
      <c r="A39" s="97"/>
      <c r="B39" s="71" t="s">
        <v>422</v>
      </c>
    </row>
    <row r="40" spans="1:2" x14ac:dyDescent="0.3">
      <c r="A40" s="98"/>
      <c r="B40" s="71" t="s">
        <v>423</v>
      </c>
    </row>
    <row r="41" spans="1:2" x14ac:dyDescent="0.3">
      <c r="A41" s="96" t="s">
        <v>401</v>
      </c>
      <c r="B41" s="70" t="s">
        <v>424</v>
      </c>
    </row>
    <row r="42" spans="1:2" x14ac:dyDescent="0.3">
      <c r="A42" s="97"/>
      <c r="B42" s="71" t="s">
        <v>425</v>
      </c>
    </row>
    <row r="43" spans="1:2" x14ac:dyDescent="0.3">
      <c r="A43" s="97"/>
      <c r="B43" s="71" t="s">
        <v>426</v>
      </c>
    </row>
    <row r="44" spans="1:2" x14ac:dyDescent="0.3">
      <c r="A44" s="97"/>
      <c r="B44" s="71" t="s">
        <v>427</v>
      </c>
    </row>
    <row r="45" spans="1:2" x14ac:dyDescent="0.3">
      <c r="A45" s="97"/>
      <c r="B45" s="71" t="s">
        <v>428</v>
      </c>
    </row>
    <row r="46" spans="1:2" x14ac:dyDescent="0.3">
      <c r="A46" s="97"/>
      <c r="B46" s="71" t="s">
        <v>429</v>
      </c>
    </row>
    <row r="47" spans="1:2" x14ac:dyDescent="0.3">
      <c r="A47" s="97"/>
      <c r="B47" s="71" t="s">
        <v>430</v>
      </c>
    </row>
    <row r="48" spans="1:2" x14ac:dyDescent="0.3">
      <c r="A48" s="97"/>
      <c r="B48" s="71" t="s">
        <v>431</v>
      </c>
    </row>
    <row r="49" spans="1:2" x14ac:dyDescent="0.3">
      <c r="A49" s="97"/>
      <c r="B49" s="71" t="s">
        <v>432</v>
      </c>
    </row>
    <row r="50" spans="1:2" x14ac:dyDescent="0.3">
      <c r="A50" s="98"/>
      <c r="B50" s="71" t="s">
        <v>433</v>
      </c>
    </row>
    <row r="51" spans="1:2" x14ac:dyDescent="0.3">
      <c r="A51" s="96" t="s">
        <v>402</v>
      </c>
      <c r="B51" s="70" t="s">
        <v>434</v>
      </c>
    </row>
    <row r="52" spans="1:2" x14ac:dyDescent="0.3">
      <c r="A52" s="97"/>
      <c r="B52" s="71" t="s">
        <v>435</v>
      </c>
    </row>
    <row r="53" spans="1:2" x14ac:dyDescent="0.3">
      <c r="A53" s="97"/>
      <c r="B53" s="71" t="s">
        <v>436</v>
      </c>
    </row>
    <row r="54" spans="1:2" x14ac:dyDescent="0.3">
      <c r="A54" s="97"/>
      <c r="B54" s="71" t="s">
        <v>437</v>
      </c>
    </row>
    <row r="55" spans="1:2" x14ac:dyDescent="0.3">
      <c r="A55" s="97"/>
      <c r="B55" s="71" t="s">
        <v>438</v>
      </c>
    </row>
    <row r="56" spans="1:2" x14ac:dyDescent="0.3">
      <c r="A56" s="97"/>
      <c r="B56" s="71" t="s">
        <v>439</v>
      </c>
    </row>
    <row r="57" spans="1:2" x14ac:dyDescent="0.3">
      <c r="A57" s="97"/>
      <c r="B57" s="71" t="s">
        <v>440</v>
      </c>
    </row>
    <row r="58" spans="1:2" x14ac:dyDescent="0.3">
      <c r="A58" s="97"/>
      <c r="B58" s="71" t="s">
        <v>441</v>
      </c>
    </row>
    <row r="59" spans="1:2" x14ac:dyDescent="0.3">
      <c r="A59" s="97"/>
      <c r="B59" s="71" t="s">
        <v>442</v>
      </c>
    </row>
    <row r="60" spans="1:2" x14ac:dyDescent="0.3">
      <c r="A60" s="98"/>
      <c r="B60" s="69" t="s">
        <v>443</v>
      </c>
    </row>
    <row r="61" spans="1:2" x14ac:dyDescent="0.3">
      <c r="A61" s="96" t="s">
        <v>403</v>
      </c>
      <c r="B61" s="74" t="s">
        <v>444</v>
      </c>
    </row>
    <row r="62" spans="1:2" x14ac:dyDescent="0.3">
      <c r="A62" s="97"/>
      <c r="B62" s="75" t="s">
        <v>445</v>
      </c>
    </row>
    <row r="63" spans="1:2" x14ac:dyDescent="0.3">
      <c r="A63" s="97"/>
      <c r="B63" s="76" t="s">
        <v>446</v>
      </c>
    </row>
    <row r="64" spans="1:2" x14ac:dyDescent="0.3">
      <c r="A64" s="97"/>
      <c r="B64" s="76" t="s">
        <v>447</v>
      </c>
    </row>
    <row r="65" spans="1:2" x14ac:dyDescent="0.3">
      <c r="A65" s="97"/>
      <c r="B65" s="76" t="s">
        <v>448</v>
      </c>
    </row>
    <row r="66" spans="1:2" x14ac:dyDescent="0.3">
      <c r="A66" s="97"/>
      <c r="B66" s="76" t="s">
        <v>449</v>
      </c>
    </row>
    <row r="67" spans="1:2" x14ac:dyDescent="0.3">
      <c r="A67" s="97"/>
      <c r="B67" s="76" t="s">
        <v>450</v>
      </c>
    </row>
    <row r="68" spans="1:2" x14ac:dyDescent="0.3">
      <c r="A68" s="97"/>
      <c r="B68" s="76" t="s">
        <v>451</v>
      </c>
    </row>
    <row r="69" spans="1:2" x14ac:dyDescent="0.3">
      <c r="A69" s="97"/>
      <c r="B69" s="76" t="s">
        <v>452</v>
      </c>
    </row>
    <row r="70" spans="1:2" x14ac:dyDescent="0.3">
      <c r="A70" s="98"/>
      <c r="B70" s="77" t="s">
        <v>453</v>
      </c>
    </row>
    <row r="71" spans="1:2" x14ac:dyDescent="0.3">
      <c r="A71" s="96" t="s">
        <v>404</v>
      </c>
      <c r="B71" s="78" t="s">
        <v>454</v>
      </c>
    </row>
    <row r="72" spans="1:2" x14ac:dyDescent="0.3">
      <c r="A72" s="97"/>
      <c r="B72" s="63" t="s">
        <v>455</v>
      </c>
    </row>
    <row r="73" spans="1:2" x14ac:dyDescent="0.3">
      <c r="A73" s="97"/>
      <c r="B73" s="71" t="s">
        <v>456</v>
      </c>
    </row>
    <row r="74" spans="1:2" x14ac:dyDescent="0.3">
      <c r="A74" s="97"/>
      <c r="B74" s="71" t="s">
        <v>457</v>
      </c>
    </row>
    <row r="75" spans="1:2" x14ac:dyDescent="0.3">
      <c r="A75" s="97"/>
      <c r="B75" s="71" t="s">
        <v>458</v>
      </c>
    </row>
    <row r="76" spans="1:2" x14ac:dyDescent="0.3">
      <c r="A76" s="97"/>
      <c r="B76" s="71" t="s">
        <v>459</v>
      </c>
    </row>
    <row r="77" spans="1:2" x14ac:dyDescent="0.3">
      <c r="A77" s="97"/>
      <c r="B77" s="71" t="s">
        <v>460</v>
      </c>
    </row>
    <row r="78" spans="1:2" x14ac:dyDescent="0.3">
      <c r="A78" s="97"/>
      <c r="B78" s="71" t="s">
        <v>461</v>
      </c>
    </row>
    <row r="79" spans="1:2" x14ac:dyDescent="0.3">
      <c r="A79" s="97"/>
      <c r="B79" s="71" t="s">
        <v>462</v>
      </c>
    </row>
    <row r="80" spans="1:2" x14ac:dyDescent="0.3">
      <c r="A80" s="98"/>
      <c r="B80" s="69" t="s">
        <v>463</v>
      </c>
    </row>
    <row r="81" spans="1:2" x14ac:dyDescent="0.3">
      <c r="A81" s="95" t="s">
        <v>405</v>
      </c>
      <c r="B81" s="70" t="s">
        <v>464</v>
      </c>
    </row>
    <row r="82" spans="1:2" x14ac:dyDescent="0.3">
      <c r="A82" s="95"/>
      <c r="B82" s="69" t="s">
        <v>465</v>
      </c>
    </row>
  </sheetData>
  <mergeCells count="11">
    <mergeCell ref="A81:A82"/>
    <mergeCell ref="A61:A70"/>
    <mergeCell ref="A21:A30"/>
    <mergeCell ref="A31:A40"/>
    <mergeCell ref="A41:A50"/>
    <mergeCell ref="A51:A60"/>
    <mergeCell ref="A1:B1"/>
    <mergeCell ref="A2:B2"/>
    <mergeCell ref="A4:A17"/>
    <mergeCell ref="A18:A20"/>
    <mergeCell ref="A71:A8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587EF-2CE8-419E-8B4D-AE74804F8438}">
  <dimension ref="A1:M29"/>
  <sheetViews>
    <sheetView zoomScale="80" zoomScaleNormal="80" workbookViewId="0"/>
  </sheetViews>
  <sheetFormatPr defaultRowHeight="14.4" x14ac:dyDescent="0.3"/>
  <cols>
    <col min="1" max="1" width="25.6640625" customWidth="1"/>
    <col min="2" max="2" width="18.21875" bestFit="1" customWidth="1"/>
    <col min="3" max="3" width="10.77734375" customWidth="1"/>
    <col min="4" max="5" width="20.77734375" customWidth="1"/>
    <col min="6" max="6" width="3.6640625" customWidth="1"/>
    <col min="7" max="7" width="10.77734375" customWidth="1"/>
    <col min="8" max="9" width="20.77734375" customWidth="1"/>
    <col min="10" max="10" width="3.6640625" customWidth="1"/>
    <col min="11" max="11" width="10.77734375" customWidth="1"/>
    <col min="12" max="13" width="20.77734375" customWidth="1"/>
  </cols>
  <sheetData>
    <row r="1" spans="1:13" ht="21" x14ac:dyDescent="0.4">
      <c r="A1" s="81" t="s">
        <v>392</v>
      </c>
    </row>
    <row r="3" spans="1:13" x14ac:dyDescent="0.3">
      <c r="A3" s="40" t="s">
        <v>464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 x14ac:dyDescent="0.3">
      <c r="A4" s="12"/>
      <c r="B4" s="12"/>
      <c r="C4" s="107" t="s">
        <v>341</v>
      </c>
      <c r="D4" s="108"/>
      <c r="E4" s="109"/>
      <c r="F4" s="63"/>
      <c r="G4" s="110" t="s">
        <v>342</v>
      </c>
      <c r="H4" s="108"/>
      <c r="I4" s="109"/>
      <c r="J4" s="63"/>
      <c r="K4" s="110" t="s">
        <v>343</v>
      </c>
      <c r="L4" s="108"/>
      <c r="M4" s="108"/>
    </row>
    <row r="5" spans="1:13" x14ac:dyDescent="0.3">
      <c r="A5" s="6"/>
      <c r="B5" s="6"/>
      <c r="C5" s="58" t="s">
        <v>57</v>
      </c>
      <c r="D5" s="58" t="s">
        <v>344</v>
      </c>
      <c r="E5" s="59" t="s">
        <v>345</v>
      </c>
      <c r="F5" s="43"/>
      <c r="G5" s="60" t="s">
        <v>57</v>
      </c>
      <c r="H5" s="58" t="s">
        <v>344</v>
      </c>
      <c r="I5" s="59" t="s">
        <v>345</v>
      </c>
      <c r="J5" s="43"/>
      <c r="K5" s="60" t="s">
        <v>57</v>
      </c>
      <c r="L5" s="58" t="s">
        <v>344</v>
      </c>
      <c r="M5" s="58" t="s">
        <v>345</v>
      </c>
    </row>
    <row r="6" spans="1:13" x14ac:dyDescent="0.3">
      <c r="A6" s="1" t="s">
        <v>31</v>
      </c>
      <c r="B6" s="1" t="s">
        <v>31</v>
      </c>
      <c r="C6" s="7">
        <v>459875</v>
      </c>
      <c r="D6" s="2">
        <v>0.53508119737180448</v>
      </c>
      <c r="E6" s="3">
        <v>0.98455329807959924</v>
      </c>
      <c r="F6" s="4"/>
      <c r="G6" s="10">
        <v>5631</v>
      </c>
      <c r="H6" s="2">
        <v>6.5518721878785125E-3</v>
      </c>
      <c r="I6" s="3">
        <v>1.205549251750198E-2</v>
      </c>
      <c r="J6" s="4"/>
      <c r="K6" s="10">
        <v>1584</v>
      </c>
      <c r="L6" s="2">
        <v>1.8430412973893739E-3</v>
      </c>
      <c r="M6" s="2">
        <v>3.391209402898799E-3</v>
      </c>
    </row>
    <row r="7" spans="1:13" x14ac:dyDescent="0.3">
      <c r="A7" s="99" t="s">
        <v>346</v>
      </c>
      <c r="B7" s="1" t="s">
        <v>22</v>
      </c>
      <c r="C7" s="7">
        <v>61800</v>
      </c>
      <c r="D7" s="2">
        <v>0.43592655554536669</v>
      </c>
      <c r="E7" s="3">
        <v>0.98338743555470698</v>
      </c>
      <c r="F7" s="4"/>
      <c r="G7" s="10">
        <v>766</v>
      </c>
      <c r="H7" s="2">
        <v>5.4032320638794642E-3</v>
      </c>
      <c r="I7" s="3">
        <v>1.2188912227102031E-2</v>
      </c>
      <c r="J7" s="4"/>
      <c r="K7" s="10">
        <v>278</v>
      </c>
      <c r="L7" s="2">
        <v>1.9609641171781868E-3</v>
      </c>
      <c r="M7" s="2">
        <v>4.4236522181910773E-3</v>
      </c>
    </row>
    <row r="8" spans="1:13" x14ac:dyDescent="0.3">
      <c r="A8" s="100"/>
      <c r="B8" s="1" t="s">
        <v>23</v>
      </c>
      <c r="C8" s="7">
        <v>137973</v>
      </c>
      <c r="D8" s="2">
        <v>0.65921165790731007</v>
      </c>
      <c r="E8" s="3">
        <v>0.98813292272434294</v>
      </c>
      <c r="F8" s="4"/>
      <c r="G8" s="10">
        <v>1387</v>
      </c>
      <c r="H8" s="2">
        <v>6.6268514094601052E-3</v>
      </c>
      <c r="I8" s="3">
        <v>9.9333954021342125E-3</v>
      </c>
      <c r="J8" s="4"/>
      <c r="K8" s="10">
        <v>270</v>
      </c>
      <c r="L8" s="2">
        <v>1.2900143334925944E-3</v>
      </c>
      <c r="M8" s="2">
        <v>1.9336818735228819E-3</v>
      </c>
    </row>
    <row r="9" spans="1:13" x14ac:dyDescent="0.3">
      <c r="A9" s="99" t="s">
        <v>347</v>
      </c>
      <c r="B9" s="1" t="s">
        <v>24</v>
      </c>
      <c r="C9" s="7">
        <v>157861</v>
      </c>
      <c r="D9" s="2">
        <v>0.45342291055107797</v>
      </c>
      <c r="E9" s="3">
        <v>0.98119786681252563</v>
      </c>
      <c r="F9" s="4"/>
      <c r="G9" s="10">
        <v>2355</v>
      </c>
      <c r="H9" s="2">
        <v>6.7642480051931042E-3</v>
      </c>
      <c r="I9" s="3">
        <v>1.4637693770744501E-2</v>
      </c>
      <c r="J9" s="4"/>
      <c r="K9" s="10">
        <v>670</v>
      </c>
      <c r="L9" s="2">
        <v>1.9244357382078045E-3</v>
      </c>
      <c r="M9" s="2">
        <v>4.1644394167298579E-3</v>
      </c>
    </row>
    <row r="10" spans="1:13" x14ac:dyDescent="0.3">
      <c r="A10" s="100"/>
      <c r="B10" s="1" t="s">
        <v>25</v>
      </c>
      <c r="C10" s="7">
        <v>281268</v>
      </c>
      <c r="D10" s="2">
        <v>0.58241498838350581</v>
      </c>
      <c r="E10" s="3">
        <v>0.98588133026751168</v>
      </c>
      <c r="F10" s="4"/>
      <c r="G10" s="10">
        <v>3155</v>
      </c>
      <c r="H10" s="2">
        <v>6.5329838031697911E-3</v>
      </c>
      <c r="I10" s="3">
        <v>1.1058689922045875E-2</v>
      </c>
      <c r="J10" s="4"/>
      <c r="K10" s="10">
        <v>873</v>
      </c>
      <c r="L10" s="2">
        <v>1.8077004311148107E-3</v>
      </c>
      <c r="M10" s="2">
        <v>3.0599798104424879E-3</v>
      </c>
    </row>
    <row r="11" spans="1:13" x14ac:dyDescent="0.3">
      <c r="A11" s="99" t="s">
        <v>348</v>
      </c>
      <c r="B11" s="1" t="s">
        <v>26</v>
      </c>
      <c r="C11" s="7">
        <v>194698</v>
      </c>
      <c r="D11" s="2">
        <v>0.46313771292778833</v>
      </c>
      <c r="E11" s="3">
        <v>0.98192473346042508</v>
      </c>
      <c r="F11" s="4"/>
      <c r="G11" s="10">
        <v>2869</v>
      </c>
      <c r="H11" s="2">
        <v>6.8246314722792464E-3</v>
      </c>
      <c r="I11" s="3">
        <v>1.4469291211506844E-2</v>
      </c>
      <c r="J11" s="4"/>
      <c r="K11" s="10">
        <v>715</v>
      </c>
      <c r="L11" s="2">
        <v>1.7008056823561036E-3</v>
      </c>
      <c r="M11" s="2">
        <v>3.6059753280681052E-3</v>
      </c>
    </row>
    <row r="12" spans="1:13" x14ac:dyDescent="0.3">
      <c r="A12" s="100"/>
      <c r="B12" s="1" t="s">
        <v>27</v>
      </c>
      <c r="C12" s="7">
        <v>244431</v>
      </c>
      <c r="D12" s="2">
        <v>0.59515849807279786</v>
      </c>
      <c r="E12" s="3">
        <v>0.98616557734204791</v>
      </c>
      <c r="F12" s="4"/>
      <c r="G12" s="10">
        <v>2601</v>
      </c>
      <c r="H12" s="2">
        <v>6.33310526687428E-3</v>
      </c>
      <c r="I12" s="3">
        <v>1.0493827160493826E-2</v>
      </c>
      <c r="J12" s="4"/>
      <c r="K12" s="10">
        <v>828</v>
      </c>
      <c r="L12" s="2">
        <v>2.0160750330534042E-3</v>
      </c>
      <c r="M12" s="2">
        <v>3.3405954974582426E-3</v>
      </c>
    </row>
    <row r="13" spans="1:13" x14ac:dyDescent="0.3">
      <c r="A13" s="99" t="s">
        <v>349</v>
      </c>
      <c r="B13" s="1" t="s">
        <v>28</v>
      </c>
      <c r="C13" s="7">
        <v>164378</v>
      </c>
      <c r="D13" s="2">
        <v>0.50613976746477485</v>
      </c>
      <c r="E13" s="3">
        <v>0.98308085187821093</v>
      </c>
      <c r="F13" s="4"/>
      <c r="G13" s="10">
        <v>2625</v>
      </c>
      <c r="H13" s="2">
        <v>8.0826928761454329E-3</v>
      </c>
      <c r="I13" s="3">
        <v>1.5699103506432149E-2</v>
      </c>
      <c r="J13" s="4"/>
      <c r="K13" s="10">
        <v>204</v>
      </c>
      <c r="L13" s="2">
        <v>6.2814070351758795E-4</v>
      </c>
      <c r="M13" s="2">
        <v>1.2200446153570127E-3</v>
      </c>
    </row>
    <row r="14" spans="1:13" x14ac:dyDescent="0.3">
      <c r="A14" s="100"/>
      <c r="B14" s="1" t="s">
        <v>29</v>
      </c>
      <c r="C14" s="7">
        <v>207172</v>
      </c>
      <c r="D14" s="2">
        <v>0.55208325005662817</v>
      </c>
      <c r="E14" s="3">
        <v>0.98727614109663464</v>
      </c>
      <c r="F14" s="4"/>
      <c r="G14" s="10">
        <v>2115</v>
      </c>
      <c r="H14" s="2">
        <v>5.6361674061638084E-3</v>
      </c>
      <c r="I14" s="3">
        <v>1.007901182794674E-2</v>
      </c>
      <c r="J14" s="4"/>
      <c r="K14" s="10">
        <v>555</v>
      </c>
      <c r="L14" s="2">
        <v>1.4789942838869569E-3</v>
      </c>
      <c r="M14" s="2">
        <v>2.6448470754186484E-3</v>
      </c>
    </row>
    <row r="15" spans="1:13" x14ac:dyDescent="0.3">
      <c r="A15" s="100"/>
      <c r="B15" s="1" t="s">
        <v>30</v>
      </c>
      <c r="C15" s="7">
        <v>67579</v>
      </c>
      <c r="D15" s="2">
        <v>0.51561438980658447</v>
      </c>
      <c r="E15" s="3">
        <v>0.97808750524655175</v>
      </c>
      <c r="F15" s="61"/>
      <c r="G15" s="10">
        <v>730</v>
      </c>
      <c r="H15" s="2">
        <v>5.5697554648456871E-3</v>
      </c>
      <c r="I15" s="3">
        <v>1.0565469729205563E-2</v>
      </c>
      <c r="J15" s="61"/>
      <c r="K15" s="10">
        <v>784</v>
      </c>
      <c r="L15" s="2">
        <v>5.9817647732041349E-3</v>
      </c>
      <c r="M15" s="2">
        <v>1.1347025024242688E-2</v>
      </c>
    </row>
    <row r="17" spans="1:13" x14ac:dyDescent="0.3">
      <c r="A17" s="40" t="s">
        <v>465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</row>
    <row r="18" spans="1:13" x14ac:dyDescent="0.3">
      <c r="A18" s="12"/>
      <c r="B18" s="12"/>
      <c r="C18" s="107" t="s">
        <v>341</v>
      </c>
      <c r="D18" s="108"/>
      <c r="E18" s="109"/>
      <c r="F18" s="63"/>
      <c r="G18" s="110" t="s">
        <v>342</v>
      </c>
      <c r="H18" s="108"/>
      <c r="I18" s="109"/>
      <c r="J18" s="63"/>
      <c r="K18" s="110" t="s">
        <v>343</v>
      </c>
      <c r="L18" s="108"/>
      <c r="M18" s="108"/>
    </row>
    <row r="19" spans="1:13" x14ac:dyDescent="0.3">
      <c r="A19" s="62"/>
      <c r="B19" s="6"/>
      <c r="C19" s="58" t="s">
        <v>350</v>
      </c>
      <c r="D19" s="58" t="s">
        <v>24</v>
      </c>
      <c r="E19" s="59" t="s">
        <v>25</v>
      </c>
      <c r="F19" s="43"/>
      <c r="G19" s="60" t="s">
        <v>350</v>
      </c>
      <c r="H19" s="58" t="s">
        <v>24</v>
      </c>
      <c r="I19" s="59" t="s">
        <v>25</v>
      </c>
      <c r="J19" s="43"/>
      <c r="K19" s="60" t="s">
        <v>350</v>
      </c>
      <c r="L19" s="58" t="s">
        <v>24</v>
      </c>
      <c r="M19" s="58" t="s">
        <v>25</v>
      </c>
    </row>
    <row r="20" spans="1:13" x14ac:dyDescent="0.3">
      <c r="A20" s="99" t="s">
        <v>351</v>
      </c>
      <c r="B20" s="1" t="s">
        <v>57</v>
      </c>
      <c r="C20" s="7">
        <v>214797</v>
      </c>
      <c r="D20" s="7">
        <v>64594</v>
      </c>
      <c r="E20" s="8">
        <v>141251</v>
      </c>
      <c r="F20" s="9"/>
      <c r="G20" s="10">
        <v>1153</v>
      </c>
      <c r="H20" s="7">
        <v>354</v>
      </c>
      <c r="I20" s="8">
        <v>734</v>
      </c>
      <c r="J20" s="9"/>
      <c r="K20" s="10">
        <v>271</v>
      </c>
      <c r="L20" s="7">
        <v>82</v>
      </c>
      <c r="M20" s="7">
        <v>181</v>
      </c>
    </row>
    <row r="21" spans="1:13" x14ac:dyDescent="0.3">
      <c r="A21" s="100"/>
      <c r="B21" s="1" t="s">
        <v>58</v>
      </c>
      <c r="C21" s="2">
        <v>0.47728424140076436</v>
      </c>
      <c r="D21" s="2">
        <v>0.41792725061142094</v>
      </c>
      <c r="E21" s="3">
        <v>0.50982833795333793</v>
      </c>
      <c r="F21" s="4"/>
      <c r="G21" s="5">
        <v>0.21198749770178341</v>
      </c>
      <c r="H21" s="2">
        <v>0.15485564304461943</v>
      </c>
      <c r="I21" s="3">
        <v>0.24515698062792252</v>
      </c>
      <c r="J21" s="4"/>
      <c r="K21" s="5">
        <v>0.17970822281167109</v>
      </c>
      <c r="L21" s="2">
        <v>0.13057324840764331</v>
      </c>
      <c r="M21" s="2">
        <v>0.21650717703349281</v>
      </c>
    </row>
    <row r="22" spans="1:13" x14ac:dyDescent="0.3">
      <c r="A22" s="99" t="s">
        <v>352</v>
      </c>
      <c r="B22" s="1" t="s">
        <v>57</v>
      </c>
      <c r="C22" s="7">
        <v>78464</v>
      </c>
      <c r="D22" s="7">
        <v>17161</v>
      </c>
      <c r="E22" s="8">
        <v>51933</v>
      </c>
      <c r="F22" s="9"/>
      <c r="G22" s="10">
        <v>598</v>
      </c>
      <c r="H22" s="7">
        <v>168</v>
      </c>
      <c r="I22" s="8">
        <v>374</v>
      </c>
      <c r="J22" s="9"/>
      <c r="K22" s="10">
        <v>79</v>
      </c>
      <c r="L22" s="7">
        <v>20</v>
      </c>
      <c r="M22" s="7">
        <v>48</v>
      </c>
    </row>
    <row r="23" spans="1:13" x14ac:dyDescent="0.3">
      <c r="A23" s="100"/>
      <c r="B23" s="1" t="s">
        <v>58</v>
      </c>
      <c r="C23" s="2">
        <v>0.17434894676028798</v>
      </c>
      <c r="D23" s="2">
        <v>0.11103275145899921</v>
      </c>
      <c r="E23" s="3">
        <v>0.18744585932085933</v>
      </c>
      <c r="F23" s="4"/>
      <c r="G23" s="5">
        <v>0.10994668137525281</v>
      </c>
      <c r="H23" s="2">
        <v>7.3490813648293962E-2</v>
      </c>
      <c r="I23" s="3">
        <v>0.12491649966599866</v>
      </c>
      <c r="J23" s="4"/>
      <c r="K23" s="5">
        <v>5.2387267904509281E-2</v>
      </c>
      <c r="L23" s="2">
        <v>3.1847133757961783E-2</v>
      </c>
      <c r="M23" s="2">
        <v>5.7416267942583733E-2</v>
      </c>
    </row>
    <row r="24" spans="1:13" x14ac:dyDescent="0.3">
      <c r="A24" s="99" t="s">
        <v>353</v>
      </c>
      <c r="B24" s="1" t="s">
        <v>57</v>
      </c>
      <c r="C24" s="7">
        <v>2606</v>
      </c>
      <c r="D24" s="7">
        <v>954</v>
      </c>
      <c r="E24" s="8">
        <v>1545</v>
      </c>
      <c r="F24" s="9"/>
      <c r="G24" s="10">
        <v>39</v>
      </c>
      <c r="H24" s="7">
        <v>16</v>
      </c>
      <c r="I24" s="8">
        <v>23</v>
      </c>
      <c r="J24" s="9"/>
      <c r="K24" s="10">
        <v>36</v>
      </c>
      <c r="L24" s="7">
        <v>21</v>
      </c>
      <c r="M24" s="7">
        <v>14</v>
      </c>
    </row>
    <row r="25" spans="1:13" x14ac:dyDescent="0.3">
      <c r="A25" s="100"/>
      <c r="B25" s="1" t="s">
        <v>58</v>
      </c>
      <c r="C25" s="2">
        <v>5.7905963914318724E-3</v>
      </c>
      <c r="D25" s="2">
        <v>6.1724401195667649E-3</v>
      </c>
      <c r="E25" s="3">
        <v>5.5764899514899515E-3</v>
      </c>
      <c r="F25" s="4"/>
      <c r="G25" s="5">
        <v>7.1704357418643132E-3</v>
      </c>
      <c r="H25" s="2">
        <v>6.99912510936133E-3</v>
      </c>
      <c r="I25" s="3">
        <v>7.6820307281229121E-3</v>
      </c>
      <c r="J25" s="4"/>
      <c r="K25" s="5">
        <v>2.3872679045092837E-2</v>
      </c>
      <c r="L25" s="2">
        <v>3.3439490445859872E-2</v>
      </c>
      <c r="M25" s="2">
        <v>1.6746411483253589E-2</v>
      </c>
    </row>
    <row r="26" spans="1:13" x14ac:dyDescent="0.3">
      <c r="A26" s="99" t="s">
        <v>354</v>
      </c>
      <c r="B26" s="1" t="s">
        <v>57</v>
      </c>
      <c r="C26" s="7">
        <v>25216</v>
      </c>
      <c r="D26" s="7">
        <v>12531</v>
      </c>
      <c r="E26" s="8">
        <v>12406</v>
      </c>
      <c r="F26" s="9"/>
      <c r="G26" s="10">
        <v>447</v>
      </c>
      <c r="H26" s="7">
        <v>220</v>
      </c>
      <c r="I26" s="8">
        <v>223</v>
      </c>
      <c r="J26" s="9"/>
      <c r="K26" s="10">
        <v>159</v>
      </c>
      <c r="L26" s="7">
        <v>93</v>
      </c>
      <c r="M26" s="7">
        <v>63</v>
      </c>
    </row>
    <row r="27" spans="1:13" x14ac:dyDescent="0.3">
      <c r="A27" s="100"/>
      <c r="B27" s="1" t="s">
        <v>58</v>
      </c>
      <c r="C27" s="2">
        <v>5.6030575059994668E-2</v>
      </c>
      <c r="D27" s="2">
        <v>8.1076359683743326E-2</v>
      </c>
      <c r="E27" s="3">
        <v>4.4777951027951027E-2</v>
      </c>
      <c r="F27" s="4"/>
      <c r="G27" s="5">
        <v>8.2184225041367895E-2</v>
      </c>
      <c r="H27" s="2">
        <v>9.6237970253718289E-2</v>
      </c>
      <c r="I27" s="3">
        <v>7.4482297929191713E-2</v>
      </c>
      <c r="J27" s="4"/>
      <c r="K27" s="5">
        <v>0.10543766578249338</v>
      </c>
      <c r="L27" s="2">
        <v>0.14808917197452229</v>
      </c>
      <c r="M27" s="2">
        <v>7.5358851674641153E-2</v>
      </c>
    </row>
    <row r="28" spans="1:13" x14ac:dyDescent="0.3">
      <c r="A28" s="99" t="s">
        <v>355</v>
      </c>
      <c r="B28" s="1" t="s">
        <v>57</v>
      </c>
      <c r="C28" s="7">
        <v>128521</v>
      </c>
      <c r="D28" s="7">
        <v>59148</v>
      </c>
      <c r="E28" s="8">
        <v>69663</v>
      </c>
      <c r="F28" s="9"/>
      <c r="G28" s="10">
        <v>3183</v>
      </c>
      <c r="H28" s="7">
        <v>1516</v>
      </c>
      <c r="I28" s="8">
        <v>1634</v>
      </c>
      <c r="J28" s="9"/>
      <c r="K28" s="10">
        <v>957</v>
      </c>
      <c r="L28" s="7">
        <v>410</v>
      </c>
      <c r="M28" s="7">
        <v>528</v>
      </c>
    </row>
    <row r="29" spans="1:13" x14ac:dyDescent="0.3">
      <c r="A29" s="100"/>
      <c r="B29" s="1" t="s">
        <v>58</v>
      </c>
      <c r="C29" s="2">
        <v>0.28557683761443425</v>
      </c>
      <c r="D29" s="2">
        <v>0.3826912874131394</v>
      </c>
      <c r="E29" s="3">
        <v>0.25144014206514209</v>
      </c>
      <c r="F29" s="61"/>
      <c r="G29" s="5">
        <v>0.5852178709321566</v>
      </c>
      <c r="H29" s="2">
        <v>0.66316710411198598</v>
      </c>
      <c r="I29" s="3">
        <v>0.54575818303273216</v>
      </c>
      <c r="J29" s="61"/>
      <c r="K29" s="5">
        <v>0.63461538461538458</v>
      </c>
      <c r="L29" s="2">
        <v>0.65286624203821653</v>
      </c>
      <c r="M29" s="2">
        <v>0.63157894736842102</v>
      </c>
    </row>
  </sheetData>
  <mergeCells count="15">
    <mergeCell ref="G18:I18"/>
    <mergeCell ref="K18:M18"/>
    <mergeCell ref="A20:A21"/>
    <mergeCell ref="A22:A23"/>
    <mergeCell ref="C4:E4"/>
    <mergeCell ref="G4:I4"/>
    <mergeCell ref="K4:M4"/>
    <mergeCell ref="A7:A8"/>
    <mergeCell ref="A9:A10"/>
    <mergeCell ref="A11:A12"/>
    <mergeCell ref="A24:A25"/>
    <mergeCell ref="A26:A27"/>
    <mergeCell ref="A28:A29"/>
    <mergeCell ref="A13:A15"/>
    <mergeCell ref="C18:E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59559-BB4B-4AFD-89FC-7312F38820C7}">
  <dimension ref="A1:M235"/>
  <sheetViews>
    <sheetView zoomScale="80" zoomScaleNormal="80" workbookViewId="0"/>
  </sheetViews>
  <sheetFormatPr defaultRowHeight="14.4" x14ac:dyDescent="0.3"/>
  <cols>
    <col min="1" max="1" width="20.6640625" customWidth="1"/>
    <col min="2" max="3" width="15.6640625" customWidth="1"/>
    <col min="4" max="4" width="3.6640625" customWidth="1"/>
    <col min="5" max="6" width="15.6640625" customWidth="1"/>
    <col min="7" max="7" width="3.6640625" customWidth="1"/>
    <col min="8" max="9" width="15.6640625" customWidth="1"/>
    <col min="10" max="10" width="3.6640625" customWidth="1"/>
    <col min="11" max="13" width="15.6640625" customWidth="1"/>
  </cols>
  <sheetData>
    <row r="1" spans="1:13" ht="21" x14ac:dyDescent="0.4">
      <c r="A1" s="81" t="s">
        <v>393</v>
      </c>
    </row>
    <row r="2" spans="1:13" x14ac:dyDescent="0.3">
      <c r="A2" s="24"/>
    </row>
    <row r="3" spans="1:13" x14ac:dyDescent="0.3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 x14ac:dyDescent="0.3">
      <c r="A4" s="12"/>
      <c r="B4" s="13" t="s">
        <v>22</v>
      </c>
      <c r="C4" s="14" t="s">
        <v>23</v>
      </c>
      <c r="D4" s="43"/>
      <c r="E4" s="15" t="s">
        <v>24</v>
      </c>
      <c r="F4" s="14" t="s">
        <v>25</v>
      </c>
      <c r="G4" s="43"/>
      <c r="H4" s="15" t="s">
        <v>26</v>
      </c>
      <c r="I4" s="14" t="s">
        <v>27</v>
      </c>
      <c r="J4" s="43"/>
      <c r="K4" s="15" t="s">
        <v>28</v>
      </c>
      <c r="L4" s="13" t="s">
        <v>29</v>
      </c>
      <c r="M4" s="13" t="s">
        <v>30</v>
      </c>
    </row>
    <row r="5" spans="1:13" x14ac:dyDescent="0.3">
      <c r="A5" s="99" t="s">
        <v>31</v>
      </c>
      <c r="B5" s="2">
        <v>0.49931225785745398</v>
      </c>
      <c r="C5" s="3">
        <v>0.70923994999698403</v>
      </c>
      <c r="D5" s="4"/>
      <c r="E5" s="5">
        <v>0.52385100350667757</v>
      </c>
      <c r="F5" s="3">
        <v>0.63222339855175735</v>
      </c>
      <c r="G5" s="4"/>
      <c r="H5" s="5">
        <v>0.54047001464361522</v>
      </c>
      <c r="I5" s="3">
        <v>0.63871928282372326</v>
      </c>
      <c r="J5" s="4"/>
      <c r="K5" s="5">
        <v>0.58613125871629124</v>
      </c>
      <c r="L5" s="2">
        <v>0.63709950778114122</v>
      </c>
      <c r="M5" s="2">
        <v>0.54557947571888199</v>
      </c>
    </row>
    <row r="6" spans="1:13" x14ac:dyDescent="0.3">
      <c r="A6" s="100"/>
      <c r="B6" s="7">
        <v>130683</v>
      </c>
      <c r="C6" s="8">
        <v>340982</v>
      </c>
      <c r="D6" s="9"/>
      <c r="E6" s="10">
        <v>280847</v>
      </c>
      <c r="F6" s="8">
        <v>745270</v>
      </c>
      <c r="G6" s="9"/>
      <c r="H6" s="10">
        <v>380893</v>
      </c>
      <c r="I6" s="8">
        <v>645224</v>
      </c>
      <c r="J6" s="9"/>
      <c r="K6" s="10">
        <v>297141</v>
      </c>
      <c r="L6" s="7">
        <v>486802</v>
      </c>
      <c r="M6" s="7">
        <v>242174</v>
      </c>
    </row>
    <row r="7" spans="1:13" x14ac:dyDescent="0.3">
      <c r="A7" s="99" t="s">
        <v>32</v>
      </c>
      <c r="B7" s="2">
        <v>0.26911350037825815</v>
      </c>
      <c r="C7" s="3">
        <v>0.54652214879849237</v>
      </c>
      <c r="D7" s="4"/>
      <c r="E7" s="5">
        <v>0.29303887189435202</v>
      </c>
      <c r="F7" s="3">
        <v>0.46821704637226758</v>
      </c>
      <c r="G7" s="4"/>
      <c r="H7" s="5">
        <v>0.33020359165881513</v>
      </c>
      <c r="I7" s="3">
        <v>0.47153092901887184</v>
      </c>
      <c r="J7" s="4"/>
      <c r="K7" s="5">
        <v>0.38893349087588003</v>
      </c>
      <c r="L7" s="2">
        <v>0.46328774975755505</v>
      </c>
      <c r="M7" s="2">
        <v>0.35567175207937207</v>
      </c>
    </row>
    <row r="8" spans="1:13" x14ac:dyDescent="0.3">
      <c r="A8" s="100"/>
      <c r="B8" s="7">
        <v>70434</v>
      </c>
      <c r="C8" s="8">
        <v>262752</v>
      </c>
      <c r="D8" s="9"/>
      <c r="E8" s="10">
        <v>157104</v>
      </c>
      <c r="F8" s="8">
        <v>551938</v>
      </c>
      <c r="G8" s="9"/>
      <c r="H8" s="10">
        <v>232709</v>
      </c>
      <c r="I8" s="8">
        <v>476333</v>
      </c>
      <c r="J8" s="9"/>
      <c r="K8" s="10">
        <v>197171</v>
      </c>
      <c r="L8" s="7">
        <v>353994</v>
      </c>
      <c r="M8" s="7">
        <v>157877</v>
      </c>
    </row>
    <row r="9" spans="1:13" x14ac:dyDescent="0.3">
      <c r="A9" s="99" t="s">
        <v>33</v>
      </c>
      <c r="B9" s="2">
        <v>0.2301987574791958</v>
      </c>
      <c r="C9" s="3">
        <v>0.16271780119849158</v>
      </c>
      <c r="D9" s="4"/>
      <c r="E9" s="5">
        <v>0.230810266358278</v>
      </c>
      <c r="F9" s="3">
        <v>0.16400635217948978</v>
      </c>
      <c r="G9" s="4"/>
      <c r="H9" s="5">
        <v>0.21026500402983211</v>
      </c>
      <c r="I9" s="3">
        <v>0.16718835380485139</v>
      </c>
      <c r="J9" s="4"/>
      <c r="K9" s="5">
        <v>0.19719776784041124</v>
      </c>
      <c r="L9" s="2">
        <v>0.1738117580235862</v>
      </c>
      <c r="M9" s="2">
        <v>0.18990547079867715</v>
      </c>
    </row>
    <row r="10" spans="1:13" x14ac:dyDescent="0.3">
      <c r="A10" s="100"/>
      <c r="B10" s="7">
        <v>60249</v>
      </c>
      <c r="C10" s="8">
        <v>78230</v>
      </c>
      <c r="D10" s="9"/>
      <c r="E10" s="10">
        <v>123742</v>
      </c>
      <c r="F10" s="8">
        <v>193332</v>
      </c>
      <c r="G10" s="9"/>
      <c r="H10" s="10">
        <v>148183</v>
      </c>
      <c r="I10" s="8">
        <v>168891</v>
      </c>
      <c r="J10" s="9"/>
      <c r="K10" s="10">
        <v>99970</v>
      </c>
      <c r="L10" s="7">
        <v>132808</v>
      </c>
      <c r="M10" s="7">
        <v>84296</v>
      </c>
    </row>
    <row r="11" spans="1:13" x14ac:dyDescent="0.3">
      <c r="A11" s="99" t="s">
        <v>34</v>
      </c>
      <c r="B11" s="2">
        <v>0.44270725873623562</v>
      </c>
      <c r="C11" s="3">
        <v>0.55383540188572111</v>
      </c>
      <c r="D11" s="4"/>
      <c r="E11" s="5">
        <v>0.46114675818846529</v>
      </c>
      <c r="F11" s="3">
        <v>0.49984560674851208</v>
      </c>
      <c r="G11" s="4"/>
      <c r="H11" s="5">
        <v>0.46729876380643182</v>
      </c>
      <c r="I11" s="3">
        <v>0.50201349457128608</v>
      </c>
      <c r="J11" s="4"/>
      <c r="K11" s="5">
        <v>0.49393730779776429</v>
      </c>
      <c r="L11" s="2">
        <v>0.50529714392657421</v>
      </c>
      <c r="M11" s="2">
        <v>0.45046904146128269</v>
      </c>
    </row>
    <row r="12" spans="1:13" x14ac:dyDescent="0.3">
      <c r="A12" s="100"/>
      <c r="B12" s="7">
        <v>115868</v>
      </c>
      <c r="C12" s="8">
        <v>266268</v>
      </c>
      <c r="D12" s="9"/>
      <c r="E12" s="10">
        <v>247230</v>
      </c>
      <c r="F12" s="8">
        <v>589222</v>
      </c>
      <c r="G12" s="9"/>
      <c r="H12" s="10">
        <v>329326</v>
      </c>
      <c r="I12" s="8">
        <v>507126</v>
      </c>
      <c r="J12" s="9"/>
      <c r="K12" s="10">
        <v>250403</v>
      </c>
      <c r="L12" s="7">
        <v>386093</v>
      </c>
      <c r="M12" s="7">
        <v>199956</v>
      </c>
    </row>
    <row r="13" spans="1:13" x14ac:dyDescent="0.3">
      <c r="A13" s="99" t="s">
        <v>35</v>
      </c>
      <c r="B13" s="2">
        <v>5.6604999121218372E-2</v>
      </c>
      <c r="C13" s="3">
        <v>0.15540454811126295</v>
      </c>
      <c r="D13" s="4"/>
      <c r="E13" s="5">
        <v>6.2704245318212337E-2</v>
      </c>
      <c r="F13" s="3">
        <v>0.13237779180324533</v>
      </c>
      <c r="G13" s="4"/>
      <c r="H13" s="5">
        <v>7.3171250837183427E-2</v>
      </c>
      <c r="I13" s="3">
        <v>0.13670578825243718</v>
      </c>
      <c r="J13" s="4"/>
      <c r="K13" s="5">
        <v>9.219395091852696E-2</v>
      </c>
      <c r="L13" s="2">
        <v>0.13180236385456706</v>
      </c>
      <c r="M13" s="2">
        <v>9.5110434257598839E-2</v>
      </c>
    </row>
    <row r="14" spans="1:13" x14ac:dyDescent="0.3">
      <c r="A14" s="100"/>
      <c r="B14" s="7">
        <v>14815</v>
      </c>
      <c r="C14" s="8">
        <v>74714</v>
      </c>
      <c r="D14" s="9"/>
      <c r="E14" s="10">
        <v>33617</v>
      </c>
      <c r="F14" s="8">
        <v>156048</v>
      </c>
      <c r="G14" s="9"/>
      <c r="H14" s="10">
        <v>51567</v>
      </c>
      <c r="I14" s="8">
        <v>138098</v>
      </c>
      <c r="J14" s="9"/>
      <c r="K14" s="10">
        <v>46738</v>
      </c>
      <c r="L14" s="7">
        <v>100709</v>
      </c>
      <c r="M14" s="7">
        <v>42218</v>
      </c>
    </row>
    <row r="15" spans="1:13" x14ac:dyDescent="0.3">
      <c r="A15" s="99" t="s">
        <v>36</v>
      </c>
      <c r="B15" s="2">
        <v>0.46099737893827897</v>
      </c>
      <c r="C15" s="3">
        <v>0.47679872538069062</v>
      </c>
      <c r="D15" s="4"/>
      <c r="E15" s="5">
        <v>0.47272625531597401</v>
      </c>
      <c r="F15" s="3">
        <v>0.46728135540308513</v>
      </c>
      <c r="G15" s="4"/>
      <c r="H15" s="5">
        <v>0.47240700169139432</v>
      </c>
      <c r="I15" s="3">
        <v>0.4665951945388167</v>
      </c>
      <c r="J15" s="4"/>
      <c r="K15" s="5">
        <v>0.48152590082315322</v>
      </c>
      <c r="L15" s="2">
        <v>0.47802290564867272</v>
      </c>
      <c r="M15" s="2">
        <v>0.4390989537807175</v>
      </c>
    </row>
    <row r="16" spans="1:13" x14ac:dyDescent="0.3">
      <c r="A16" s="100"/>
      <c r="B16" s="7">
        <v>120655</v>
      </c>
      <c r="C16" s="8">
        <v>229231</v>
      </c>
      <c r="D16" s="9"/>
      <c r="E16" s="10">
        <v>253438</v>
      </c>
      <c r="F16" s="8">
        <v>550835</v>
      </c>
      <c r="G16" s="9"/>
      <c r="H16" s="10">
        <v>332926</v>
      </c>
      <c r="I16" s="8">
        <v>471347</v>
      </c>
      <c r="J16" s="9"/>
      <c r="K16" s="10">
        <v>244111</v>
      </c>
      <c r="L16" s="7">
        <v>365253</v>
      </c>
      <c r="M16" s="7">
        <v>194909</v>
      </c>
    </row>
    <row r="17" spans="1:13" x14ac:dyDescent="0.3">
      <c r="A17" s="99" t="s">
        <v>37</v>
      </c>
      <c r="B17" s="2">
        <v>3.8314878919175017E-2</v>
      </c>
      <c r="C17" s="3">
        <v>0.23244122461629341</v>
      </c>
      <c r="D17" s="4"/>
      <c r="E17" s="5">
        <v>5.1124748190703576E-2</v>
      </c>
      <c r="F17" s="3">
        <v>0.16494204314867222</v>
      </c>
      <c r="G17" s="4"/>
      <c r="H17" s="5">
        <v>6.8063012952220947E-2</v>
      </c>
      <c r="I17" s="3">
        <v>0.17212408828490652</v>
      </c>
      <c r="J17" s="4"/>
      <c r="K17" s="5">
        <v>0.10460535789313802</v>
      </c>
      <c r="L17" s="2">
        <v>0.15907660213246852</v>
      </c>
      <c r="M17" s="2">
        <v>0.10648052193816403</v>
      </c>
    </row>
    <row r="18" spans="1:13" x14ac:dyDescent="0.3">
      <c r="A18" s="100"/>
      <c r="B18" s="7">
        <v>10028</v>
      </c>
      <c r="C18" s="8">
        <v>111751</v>
      </c>
      <c r="D18" s="11"/>
      <c r="E18" s="10">
        <v>27409</v>
      </c>
      <c r="F18" s="8">
        <v>194435</v>
      </c>
      <c r="G18" s="11"/>
      <c r="H18" s="10">
        <v>47967</v>
      </c>
      <c r="I18" s="8">
        <v>173877</v>
      </c>
      <c r="J18" s="11"/>
      <c r="K18" s="10">
        <v>53030</v>
      </c>
      <c r="L18" s="7">
        <v>121549</v>
      </c>
      <c r="M18" s="7">
        <v>47265</v>
      </c>
    </row>
    <row r="20" spans="1:13" x14ac:dyDescent="0.3">
      <c r="A20" s="40" t="s">
        <v>5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</row>
    <row r="21" spans="1:13" x14ac:dyDescent="0.3">
      <c r="A21" s="12"/>
      <c r="B21" s="13" t="s">
        <v>22</v>
      </c>
      <c r="C21" s="14" t="s">
        <v>23</v>
      </c>
      <c r="D21" s="43"/>
      <c r="E21" s="15" t="s">
        <v>24</v>
      </c>
      <c r="F21" s="14" t="s">
        <v>25</v>
      </c>
      <c r="G21" s="43"/>
      <c r="H21" s="15" t="s">
        <v>26</v>
      </c>
      <c r="I21" s="14" t="s">
        <v>27</v>
      </c>
      <c r="J21" s="43"/>
      <c r="K21" s="15" t="s">
        <v>28</v>
      </c>
      <c r="L21" s="13" t="s">
        <v>29</v>
      </c>
      <c r="M21" s="13" t="s">
        <v>30</v>
      </c>
    </row>
    <row r="22" spans="1:13" x14ac:dyDescent="0.3">
      <c r="A22" s="99" t="s">
        <v>31</v>
      </c>
      <c r="B22" s="2">
        <v>0.47212299280616093</v>
      </c>
      <c r="C22" s="3">
        <v>0.7104530534650082</v>
      </c>
      <c r="D22" s="4"/>
      <c r="E22" s="5">
        <v>0.49745642811071733</v>
      </c>
      <c r="F22" s="3">
        <v>0.62220043597256414</v>
      </c>
      <c r="G22" s="4"/>
      <c r="H22" s="5">
        <v>0.51906728231178656</v>
      </c>
      <c r="I22" s="3">
        <v>0.62989615602813254</v>
      </c>
      <c r="J22" s="4"/>
      <c r="K22" s="5">
        <v>0.56808508026257865</v>
      </c>
      <c r="L22" s="2">
        <v>0.62039668404482406</v>
      </c>
      <c r="M22" s="2">
        <v>0.54380099447272934</v>
      </c>
    </row>
    <row r="23" spans="1:13" x14ac:dyDescent="0.3">
      <c r="A23" s="100"/>
      <c r="B23" s="7">
        <v>134014</v>
      </c>
      <c r="C23" s="8">
        <v>299343</v>
      </c>
      <c r="D23" s="9"/>
      <c r="E23" s="10">
        <v>286907</v>
      </c>
      <c r="F23" s="8">
        <v>837740</v>
      </c>
      <c r="G23" s="9"/>
      <c r="H23" s="10">
        <v>406275</v>
      </c>
      <c r="I23" s="8">
        <v>718372</v>
      </c>
      <c r="J23" s="9"/>
      <c r="K23" s="10">
        <v>323917</v>
      </c>
      <c r="L23" s="7">
        <v>526334</v>
      </c>
      <c r="M23" s="7">
        <v>274396</v>
      </c>
    </row>
    <row r="24" spans="1:13" x14ac:dyDescent="0.3">
      <c r="A24" s="99" t="s">
        <v>32</v>
      </c>
      <c r="B24" s="2">
        <v>0.2603944281214991</v>
      </c>
      <c r="C24" s="3">
        <v>0.55054457078708219</v>
      </c>
      <c r="D24" s="4"/>
      <c r="E24" s="5">
        <v>0.28849861638011748</v>
      </c>
      <c r="F24" s="3">
        <v>0.45343151999940584</v>
      </c>
      <c r="G24" s="4"/>
      <c r="H24" s="5">
        <v>0.32242922593784096</v>
      </c>
      <c r="I24" s="3">
        <v>0.45992980031759084</v>
      </c>
      <c r="J24" s="4"/>
      <c r="K24" s="5">
        <v>0.38461147229612536</v>
      </c>
      <c r="L24" s="2">
        <v>0.44908254880166154</v>
      </c>
      <c r="M24" s="2">
        <v>0.34999177548460231</v>
      </c>
    </row>
    <row r="25" spans="1:13" x14ac:dyDescent="0.3">
      <c r="A25" s="100"/>
      <c r="B25" s="7">
        <v>73914</v>
      </c>
      <c r="C25" s="8">
        <v>231967</v>
      </c>
      <c r="D25" s="9"/>
      <c r="E25" s="10">
        <v>166391</v>
      </c>
      <c r="F25" s="8">
        <v>610507</v>
      </c>
      <c r="G25" s="9"/>
      <c r="H25" s="10">
        <v>252366</v>
      </c>
      <c r="I25" s="8">
        <v>524532</v>
      </c>
      <c r="J25" s="9"/>
      <c r="K25" s="10">
        <v>219302</v>
      </c>
      <c r="L25" s="7">
        <v>380994</v>
      </c>
      <c r="M25" s="7">
        <v>176602</v>
      </c>
    </row>
    <row r="26" spans="1:13" x14ac:dyDescent="0.3">
      <c r="A26" s="99" t="s">
        <v>33</v>
      </c>
      <c r="B26" s="2">
        <v>0.21167572061693687</v>
      </c>
      <c r="C26" s="3">
        <v>0.15990610930339083</v>
      </c>
      <c r="D26" s="4"/>
      <c r="E26" s="5">
        <v>0.20892313454056191</v>
      </c>
      <c r="F26" s="3">
        <v>0.16876594512093226</v>
      </c>
      <c r="G26" s="4"/>
      <c r="H26" s="5">
        <v>0.19660994861390413</v>
      </c>
      <c r="I26" s="3">
        <v>0.16996460203373898</v>
      </c>
      <c r="J26" s="4"/>
      <c r="K26" s="5">
        <v>0.18345782378185554</v>
      </c>
      <c r="L26" s="2">
        <v>0.17130352682691663</v>
      </c>
      <c r="M26" s="2">
        <v>0.19379732812249176</v>
      </c>
    </row>
    <row r="27" spans="1:13" x14ac:dyDescent="0.3">
      <c r="A27" s="100"/>
      <c r="B27" s="7">
        <v>60085</v>
      </c>
      <c r="C27" s="8">
        <v>67375</v>
      </c>
      <c r="D27" s="9"/>
      <c r="E27" s="10">
        <v>120496</v>
      </c>
      <c r="F27" s="8">
        <v>227229</v>
      </c>
      <c r="G27" s="9"/>
      <c r="H27" s="10">
        <v>153887</v>
      </c>
      <c r="I27" s="8">
        <v>193838</v>
      </c>
      <c r="J27" s="9"/>
      <c r="K27" s="10">
        <v>104606</v>
      </c>
      <c r="L27" s="7">
        <v>145331</v>
      </c>
      <c r="M27" s="7">
        <v>97788</v>
      </c>
    </row>
    <row r="28" spans="1:13" x14ac:dyDescent="0.3">
      <c r="A28" s="99" t="s">
        <v>34</v>
      </c>
      <c r="B28" s="2">
        <v>0.42052604507951269</v>
      </c>
      <c r="C28" s="3">
        <v>0.54937212376673528</v>
      </c>
      <c r="D28" s="4"/>
      <c r="E28" s="5">
        <v>0.43678521642034301</v>
      </c>
      <c r="F28" s="3">
        <v>0.49090139370105057</v>
      </c>
      <c r="G28" s="4"/>
      <c r="H28" s="5">
        <v>0.44443990177615489</v>
      </c>
      <c r="I28" s="3">
        <v>0.49542071144914207</v>
      </c>
      <c r="J28" s="4"/>
      <c r="K28" s="5">
        <v>0.47512850956960034</v>
      </c>
      <c r="L28" s="2">
        <v>0.48973399985619703</v>
      </c>
      <c r="M28" s="2">
        <v>0.44883261426626425</v>
      </c>
    </row>
    <row r="29" spans="1:13" x14ac:dyDescent="0.3">
      <c r="A29" s="100"/>
      <c r="B29" s="7">
        <v>119368</v>
      </c>
      <c r="C29" s="8">
        <v>231473</v>
      </c>
      <c r="D29" s="9"/>
      <c r="E29" s="10">
        <v>251915</v>
      </c>
      <c r="F29" s="8">
        <v>660957</v>
      </c>
      <c r="G29" s="9"/>
      <c r="H29" s="10">
        <v>347864</v>
      </c>
      <c r="I29" s="8">
        <v>565008</v>
      </c>
      <c r="J29" s="9"/>
      <c r="K29" s="10">
        <v>270914</v>
      </c>
      <c r="L29" s="7">
        <v>415482</v>
      </c>
      <c r="M29" s="7">
        <v>226476</v>
      </c>
    </row>
    <row r="30" spans="1:13" x14ac:dyDescent="0.3">
      <c r="A30" s="99" t="s">
        <v>35</v>
      </c>
      <c r="B30" s="2">
        <v>5.1596947726648204E-2</v>
      </c>
      <c r="C30" s="3">
        <v>0.1610809296982729</v>
      </c>
      <c r="D30" s="4"/>
      <c r="E30" s="5">
        <v>6.0671211690374309E-2</v>
      </c>
      <c r="F30" s="3">
        <v>0.13129904227151362</v>
      </c>
      <c r="G30" s="4"/>
      <c r="H30" s="5">
        <v>7.4627380535631699E-2</v>
      </c>
      <c r="I30" s="3">
        <v>0.13447544457899044</v>
      </c>
      <c r="J30" s="4"/>
      <c r="K30" s="5">
        <v>9.2956570692978316E-2</v>
      </c>
      <c r="L30" s="2">
        <v>0.13066268418862706</v>
      </c>
      <c r="M30" s="2">
        <v>9.4968380206465058E-2</v>
      </c>
    </row>
    <row r="31" spans="1:13" x14ac:dyDescent="0.3">
      <c r="A31" s="100"/>
      <c r="B31" s="7">
        <v>14646</v>
      </c>
      <c r="C31" s="8">
        <v>67870</v>
      </c>
      <c r="D31" s="9"/>
      <c r="E31" s="10">
        <v>34992</v>
      </c>
      <c r="F31" s="8">
        <v>176783</v>
      </c>
      <c r="G31" s="9"/>
      <c r="H31" s="10">
        <v>58411</v>
      </c>
      <c r="I31" s="8">
        <v>153364</v>
      </c>
      <c r="J31" s="9"/>
      <c r="K31" s="10">
        <v>53003</v>
      </c>
      <c r="L31" s="7">
        <v>110852</v>
      </c>
      <c r="M31" s="7">
        <v>47920</v>
      </c>
    </row>
    <row r="32" spans="1:13" x14ac:dyDescent="0.3">
      <c r="A32" s="99" t="s">
        <v>36</v>
      </c>
      <c r="B32" s="2">
        <v>0.43052061975522626</v>
      </c>
      <c r="C32" s="3">
        <v>0.48540730667084381</v>
      </c>
      <c r="D32" s="4"/>
      <c r="E32" s="5">
        <v>0.44408129720432493</v>
      </c>
      <c r="F32" s="3">
        <v>0.46339947193101683</v>
      </c>
      <c r="G32" s="4"/>
      <c r="H32" s="5">
        <v>0.44813862747252464</v>
      </c>
      <c r="I32" s="3">
        <v>0.46410355110784146</v>
      </c>
      <c r="J32" s="4"/>
      <c r="K32" s="5">
        <v>0.46058952175674467</v>
      </c>
      <c r="L32" s="2">
        <v>0.46685871829114917</v>
      </c>
      <c r="M32" s="2">
        <v>0.43867781501380332</v>
      </c>
    </row>
    <row r="33" spans="1:13" x14ac:dyDescent="0.3">
      <c r="A33" s="100"/>
      <c r="B33" s="7">
        <v>122205</v>
      </c>
      <c r="C33" s="8">
        <v>204522</v>
      </c>
      <c r="D33" s="9"/>
      <c r="E33" s="10">
        <v>256123</v>
      </c>
      <c r="F33" s="8">
        <v>623928</v>
      </c>
      <c r="G33" s="9"/>
      <c r="H33" s="10">
        <v>350759</v>
      </c>
      <c r="I33" s="8">
        <v>529292</v>
      </c>
      <c r="J33" s="9"/>
      <c r="K33" s="10">
        <v>262624</v>
      </c>
      <c r="L33" s="7">
        <v>396075</v>
      </c>
      <c r="M33" s="7">
        <v>221352</v>
      </c>
    </row>
    <row r="34" spans="1:13" x14ac:dyDescent="0.3">
      <c r="A34" s="99" t="s">
        <v>37</v>
      </c>
      <c r="B34" s="2">
        <v>4.1602373050934637E-2</v>
      </c>
      <c r="C34" s="3">
        <v>0.22504574679416434</v>
      </c>
      <c r="D34" s="4"/>
      <c r="E34" s="5">
        <v>5.3375130906392391E-2</v>
      </c>
      <c r="F34" s="3">
        <v>0.15880096404154737</v>
      </c>
      <c r="G34" s="4"/>
      <c r="H34" s="5">
        <v>7.0928654839261945E-2</v>
      </c>
      <c r="I34" s="3">
        <v>0.16579260492029099</v>
      </c>
      <c r="J34" s="4"/>
      <c r="K34" s="5">
        <v>0.107495558505834</v>
      </c>
      <c r="L34" s="2">
        <v>0.15353796575367493</v>
      </c>
      <c r="M34" s="2">
        <v>0.10512317945892598</v>
      </c>
    </row>
    <row r="35" spans="1:13" x14ac:dyDescent="0.3">
      <c r="A35" s="100"/>
      <c r="B35" s="7">
        <v>11809</v>
      </c>
      <c r="C35" s="8">
        <v>94821</v>
      </c>
      <c r="D35" s="11"/>
      <c r="E35" s="10">
        <v>30784</v>
      </c>
      <c r="F35" s="8">
        <v>213812</v>
      </c>
      <c r="G35" s="11"/>
      <c r="H35" s="10">
        <v>55516</v>
      </c>
      <c r="I35" s="8">
        <v>189080</v>
      </c>
      <c r="J35" s="11"/>
      <c r="K35" s="10">
        <v>61293</v>
      </c>
      <c r="L35" s="7">
        <v>130259</v>
      </c>
      <c r="M35" s="7">
        <v>53044</v>
      </c>
    </row>
    <row r="37" spans="1:13" x14ac:dyDescent="0.3">
      <c r="A37" s="45" t="s">
        <v>6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</row>
    <row r="38" spans="1:13" x14ac:dyDescent="0.3">
      <c r="A38" s="12"/>
      <c r="B38" s="13" t="s">
        <v>22</v>
      </c>
      <c r="C38" s="14" t="s">
        <v>23</v>
      </c>
      <c r="D38" s="43"/>
      <c r="E38" s="15" t="s">
        <v>24</v>
      </c>
      <c r="F38" s="14" t="s">
        <v>25</v>
      </c>
      <c r="G38" s="43"/>
      <c r="H38" s="15" t="s">
        <v>26</v>
      </c>
      <c r="I38" s="14" t="s">
        <v>27</v>
      </c>
      <c r="J38" s="43"/>
      <c r="K38" s="15" t="s">
        <v>28</v>
      </c>
      <c r="L38" s="13" t="s">
        <v>29</v>
      </c>
      <c r="M38" s="13" t="s">
        <v>30</v>
      </c>
    </row>
    <row r="39" spans="1:13" x14ac:dyDescent="0.3">
      <c r="A39" s="99" t="s">
        <v>31</v>
      </c>
      <c r="B39" s="2">
        <v>0.51056176766929473</v>
      </c>
      <c r="C39" s="3">
        <v>0.73632995602136986</v>
      </c>
      <c r="D39" s="4"/>
      <c r="E39" s="5">
        <v>0.53662604811806891</v>
      </c>
      <c r="F39" s="3">
        <v>0.65048592001723093</v>
      </c>
      <c r="G39" s="4"/>
      <c r="H39" s="5">
        <v>0.55839898198803628</v>
      </c>
      <c r="I39" s="3">
        <v>0.65610485584338263</v>
      </c>
      <c r="J39" s="4"/>
      <c r="K39" s="5">
        <v>0.60171416244732023</v>
      </c>
      <c r="L39" s="2">
        <v>0.65262976745172874</v>
      </c>
      <c r="M39" s="2">
        <v>0.57185154650616643</v>
      </c>
    </row>
    <row r="40" spans="1:13" x14ac:dyDescent="0.3">
      <c r="A40" s="100"/>
      <c r="B40" s="7">
        <v>144925</v>
      </c>
      <c r="C40" s="8">
        <v>310246</v>
      </c>
      <c r="D40" s="9"/>
      <c r="E40" s="10">
        <v>309498</v>
      </c>
      <c r="F40" s="8">
        <v>875824</v>
      </c>
      <c r="G40" s="9"/>
      <c r="H40" s="10">
        <v>437060</v>
      </c>
      <c r="I40" s="8">
        <v>748262</v>
      </c>
      <c r="J40" s="9"/>
      <c r="K40" s="10">
        <v>343092</v>
      </c>
      <c r="L40" s="7">
        <v>553680</v>
      </c>
      <c r="M40" s="7">
        <v>288550</v>
      </c>
    </row>
    <row r="41" spans="1:13" x14ac:dyDescent="0.3">
      <c r="A41" s="99" t="s">
        <v>32</v>
      </c>
      <c r="B41" s="2">
        <v>0.27559590493704511</v>
      </c>
      <c r="C41" s="3">
        <v>0.5656605932012313</v>
      </c>
      <c r="D41" s="4"/>
      <c r="E41" s="5">
        <v>0.30485064534250661</v>
      </c>
      <c r="F41" s="3">
        <v>0.46786837639212281</v>
      </c>
      <c r="G41" s="4"/>
      <c r="H41" s="5">
        <v>0.33950852303941986</v>
      </c>
      <c r="I41" s="3">
        <v>0.47352167237634607</v>
      </c>
      <c r="J41" s="4"/>
      <c r="K41" s="5">
        <v>0.39950998875815297</v>
      </c>
      <c r="L41" s="2">
        <v>0.46535468061005464</v>
      </c>
      <c r="M41" s="2">
        <v>0.36301029154420728</v>
      </c>
    </row>
    <row r="42" spans="1:13" x14ac:dyDescent="0.3">
      <c r="A42" s="100"/>
      <c r="B42" s="7">
        <v>78229</v>
      </c>
      <c r="C42" s="8">
        <v>238336</v>
      </c>
      <c r="D42" s="9"/>
      <c r="E42" s="10">
        <v>175822</v>
      </c>
      <c r="F42" s="8">
        <v>629945</v>
      </c>
      <c r="G42" s="9"/>
      <c r="H42" s="10">
        <v>265734</v>
      </c>
      <c r="I42" s="8">
        <v>540033</v>
      </c>
      <c r="J42" s="9"/>
      <c r="K42" s="10">
        <v>227797</v>
      </c>
      <c r="L42" s="7">
        <v>394799</v>
      </c>
      <c r="M42" s="7">
        <v>183171</v>
      </c>
    </row>
    <row r="43" spans="1:13" x14ac:dyDescent="0.3">
      <c r="A43" s="99" t="s">
        <v>33</v>
      </c>
      <c r="B43" s="2">
        <v>0.23491301866452471</v>
      </c>
      <c r="C43" s="3">
        <v>0.17066698944560343</v>
      </c>
      <c r="D43" s="4"/>
      <c r="E43" s="5">
        <v>0.23174072558552436</v>
      </c>
      <c r="F43" s="3">
        <v>0.18261308734676901</v>
      </c>
      <c r="G43" s="4"/>
      <c r="H43" s="5">
        <v>0.21886235118857497</v>
      </c>
      <c r="I43" s="3">
        <v>0.18257967611343132</v>
      </c>
      <c r="J43" s="4"/>
      <c r="K43" s="5">
        <v>0.20218838950456952</v>
      </c>
      <c r="L43" s="2">
        <v>0.18726447842542815</v>
      </c>
      <c r="M43" s="2">
        <v>0.20882540047444553</v>
      </c>
    </row>
    <row r="44" spans="1:13" x14ac:dyDescent="0.3">
      <c r="A44" s="100"/>
      <c r="B44" s="7">
        <v>66681</v>
      </c>
      <c r="C44" s="8">
        <v>71909</v>
      </c>
      <c r="D44" s="9"/>
      <c r="E44" s="10">
        <v>133656</v>
      </c>
      <c r="F44" s="8">
        <v>245873</v>
      </c>
      <c r="G44" s="9"/>
      <c r="H44" s="10">
        <v>171304</v>
      </c>
      <c r="I44" s="8">
        <v>208225</v>
      </c>
      <c r="J44" s="9"/>
      <c r="K44" s="10">
        <v>115286</v>
      </c>
      <c r="L44" s="7">
        <v>158872</v>
      </c>
      <c r="M44" s="7">
        <v>105371</v>
      </c>
    </row>
    <row r="45" spans="1:13" x14ac:dyDescent="0.3">
      <c r="A45" s="99" t="s">
        <v>34</v>
      </c>
      <c r="B45" s="2">
        <v>0.45317663305783962</v>
      </c>
      <c r="C45" s="3">
        <v>0.57015339119620445</v>
      </c>
      <c r="D45" s="4"/>
      <c r="E45" s="5">
        <v>0.47037874426959436</v>
      </c>
      <c r="F45" s="3">
        <v>0.51408963803879193</v>
      </c>
      <c r="G45" s="4"/>
      <c r="H45" s="5">
        <v>0.47802356452391842</v>
      </c>
      <c r="I45" s="3">
        <v>0.51673665298506477</v>
      </c>
      <c r="J45" s="4"/>
      <c r="K45" s="5">
        <v>0.50348216650210198</v>
      </c>
      <c r="L45" s="2">
        <v>0.51641888156646232</v>
      </c>
      <c r="M45" s="2">
        <v>0.47219816523943248</v>
      </c>
    </row>
    <row r="46" spans="1:13" x14ac:dyDescent="0.3">
      <c r="A46" s="100"/>
      <c r="B46" s="7">
        <v>128636</v>
      </c>
      <c r="C46" s="8">
        <v>240229</v>
      </c>
      <c r="D46" s="9"/>
      <c r="E46" s="10">
        <v>271290</v>
      </c>
      <c r="F46" s="8">
        <v>692178</v>
      </c>
      <c r="G46" s="9"/>
      <c r="H46" s="10">
        <v>374150</v>
      </c>
      <c r="I46" s="8">
        <v>589318</v>
      </c>
      <c r="J46" s="9"/>
      <c r="K46" s="10">
        <v>287081</v>
      </c>
      <c r="L46" s="7">
        <v>438121</v>
      </c>
      <c r="M46" s="7">
        <v>238266</v>
      </c>
    </row>
    <row r="47" spans="1:13" x14ac:dyDescent="0.3">
      <c r="A47" s="99" t="s">
        <v>35</v>
      </c>
      <c r="B47" s="2">
        <v>5.7385134611455182E-2</v>
      </c>
      <c r="C47" s="3">
        <v>0.16617656482516535</v>
      </c>
      <c r="D47" s="4"/>
      <c r="E47" s="5">
        <v>6.6247303848474548E-2</v>
      </c>
      <c r="F47" s="3">
        <v>0.13639628197843903</v>
      </c>
      <c r="G47" s="4"/>
      <c r="H47" s="5">
        <v>8.0375417464117888E-2</v>
      </c>
      <c r="I47" s="3">
        <v>0.13936820285831783</v>
      </c>
      <c r="J47" s="4"/>
      <c r="K47" s="5">
        <v>9.8231995945218351E-2</v>
      </c>
      <c r="L47" s="2">
        <v>0.13621088588526645</v>
      </c>
      <c r="M47" s="2">
        <v>9.9653381266733912E-2</v>
      </c>
    </row>
    <row r="48" spans="1:13" x14ac:dyDescent="0.3">
      <c r="A48" s="100"/>
      <c r="B48" s="7">
        <v>16289</v>
      </c>
      <c r="C48" s="8">
        <v>70017</v>
      </c>
      <c r="D48" s="9"/>
      <c r="E48" s="10">
        <v>38208</v>
      </c>
      <c r="F48" s="8">
        <v>183646</v>
      </c>
      <c r="G48" s="9"/>
      <c r="H48" s="10">
        <v>62910</v>
      </c>
      <c r="I48" s="8">
        <v>158944</v>
      </c>
      <c r="J48" s="9"/>
      <c r="K48" s="10">
        <v>56011</v>
      </c>
      <c r="L48" s="7">
        <v>115559</v>
      </c>
      <c r="M48" s="7">
        <v>50284</v>
      </c>
    </row>
    <row r="49" spans="1:13" x14ac:dyDescent="0.3">
      <c r="A49" s="99" t="s">
        <v>36</v>
      </c>
      <c r="B49" s="2">
        <v>0.46424218083944563</v>
      </c>
      <c r="C49" s="3">
        <v>0.50499951345822025</v>
      </c>
      <c r="D49" s="4"/>
      <c r="E49" s="5">
        <v>0.47832328850728567</v>
      </c>
      <c r="F49" s="3">
        <v>0.48585243034279924</v>
      </c>
      <c r="G49" s="4"/>
      <c r="H49" s="5">
        <v>0.48228700067203101</v>
      </c>
      <c r="I49" s="3">
        <v>0.48449179761517491</v>
      </c>
      <c r="J49" s="4"/>
      <c r="K49" s="5">
        <v>0.48900806922592605</v>
      </c>
      <c r="L49" s="2">
        <v>0.49331021484400323</v>
      </c>
      <c r="M49" s="2">
        <v>0.46114164200963559</v>
      </c>
    </row>
    <row r="50" spans="1:13" x14ac:dyDescent="0.3">
      <c r="A50" s="100"/>
      <c r="B50" s="7">
        <v>131777</v>
      </c>
      <c r="C50" s="8">
        <v>212777</v>
      </c>
      <c r="D50" s="9"/>
      <c r="E50" s="10">
        <v>275872</v>
      </c>
      <c r="F50" s="8">
        <v>654159</v>
      </c>
      <c r="G50" s="9"/>
      <c r="H50" s="10">
        <v>377487</v>
      </c>
      <c r="I50" s="8">
        <v>552544</v>
      </c>
      <c r="J50" s="9"/>
      <c r="K50" s="10">
        <v>278828</v>
      </c>
      <c r="L50" s="7">
        <v>418516</v>
      </c>
      <c r="M50" s="7">
        <v>232687</v>
      </c>
    </row>
    <row r="51" spans="1:13" x14ac:dyDescent="0.3">
      <c r="A51" s="99" t="s">
        <v>37</v>
      </c>
      <c r="B51" s="2">
        <v>4.6319586829849151E-2</v>
      </c>
      <c r="C51" s="3">
        <v>0.23133044256314955</v>
      </c>
      <c r="D51" s="4"/>
      <c r="E51" s="5">
        <v>5.8302759610783218E-2</v>
      </c>
      <c r="F51" s="3">
        <v>0.16463348967443173</v>
      </c>
      <c r="G51" s="4"/>
      <c r="H51" s="5">
        <v>7.6111981316005328E-2</v>
      </c>
      <c r="I51" s="3">
        <v>0.17161305822820772</v>
      </c>
      <c r="J51" s="4"/>
      <c r="K51" s="5">
        <v>0.11270609322139423</v>
      </c>
      <c r="L51" s="2">
        <v>0.15931955260772551</v>
      </c>
      <c r="M51" s="2">
        <v>0.11070990449653084</v>
      </c>
    </row>
    <row r="52" spans="1:13" x14ac:dyDescent="0.3">
      <c r="A52" s="100"/>
      <c r="B52" s="7">
        <v>13148</v>
      </c>
      <c r="C52" s="8">
        <v>97469</v>
      </c>
      <c r="D52" s="11"/>
      <c r="E52" s="10">
        <v>33626</v>
      </c>
      <c r="F52" s="8">
        <v>221665</v>
      </c>
      <c r="G52" s="11"/>
      <c r="H52" s="10">
        <v>59573</v>
      </c>
      <c r="I52" s="8">
        <v>195718</v>
      </c>
      <c r="J52" s="11"/>
      <c r="K52" s="10">
        <v>64264</v>
      </c>
      <c r="L52" s="7">
        <v>135164</v>
      </c>
      <c r="M52" s="7">
        <v>55863</v>
      </c>
    </row>
    <row r="54" spans="1:13" x14ac:dyDescent="0.3">
      <c r="A54" s="45" t="s">
        <v>7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</row>
    <row r="55" spans="1:13" x14ac:dyDescent="0.3">
      <c r="A55" s="12"/>
      <c r="B55" s="13" t="s">
        <v>22</v>
      </c>
      <c r="C55" s="14" t="s">
        <v>23</v>
      </c>
      <c r="D55" s="43"/>
      <c r="E55" s="15" t="s">
        <v>24</v>
      </c>
      <c r="F55" s="14" t="s">
        <v>25</v>
      </c>
      <c r="G55" s="43"/>
      <c r="H55" s="15" t="s">
        <v>26</v>
      </c>
      <c r="I55" s="14" t="s">
        <v>27</v>
      </c>
      <c r="J55" s="43"/>
      <c r="K55" s="15" t="s">
        <v>28</v>
      </c>
      <c r="L55" s="13" t="s">
        <v>29</v>
      </c>
      <c r="M55" s="13" t="s">
        <v>30</v>
      </c>
    </row>
    <row r="56" spans="1:13" x14ac:dyDescent="0.3">
      <c r="A56" s="99" t="s">
        <v>31</v>
      </c>
      <c r="B56" s="2">
        <v>0.51690373427163594</v>
      </c>
      <c r="C56" s="3">
        <v>0.75456450330978597</v>
      </c>
      <c r="D56" s="4"/>
      <c r="E56" s="5">
        <v>0.54610735203658634</v>
      </c>
      <c r="F56" s="3">
        <v>0.67308645585148064</v>
      </c>
      <c r="G56" s="4"/>
      <c r="H56" s="5">
        <v>0.56971044192050757</v>
      </c>
      <c r="I56" s="3">
        <v>0.66835230124614464</v>
      </c>
      <c r="J56" s="4"/>
      <c r="K56" s="5">
        <v>0.61227187976721853</v>
      </c>
      <c r="L56" s="2">
        <v>0.66593551386527916</v>
      </c>
      <c r="M56" s="2">
        <v>0.57795553424642143</v>
      </c>
    </row>
    <row r="57" spans="1:13" x14ac:dyDescent="0.3">
      <c r="A57" s="100"/>
      <c r="B57" s="7">
        <v>155572</v>
      </c>
      <c r="C57" s="8">
        <v>407286</v>
      </c>
      <c r="D57" s="9"/>
      <c r="E57" s="10">
        <v>408390</v>
      </c>
      <c r="F57" s="8">
        <v>883953</v>
      </c>
      <c r="G57" s="9"/>
      <c r="H57" s="10">
        <v>492076</v>
      </c>
      <c r="I57" s="8">
        <v>800267</v>
      </c>
      <c r="J57" s="9"/>
      <c r="K57" s="10">
        <v>379281</v>
      </c>
      <c r="L57" s="7">
        <v>604469</v>
      </c>
      <c r="M57" s="7">
        <v>308593</v>
      </c>
    </row>
    <row r="58" spans="1:13" x14ac:dyDescent="0.3">
      <c r="A58" s="99" t="s">
        <v>32</v>
      </c>
      <c r="B58" s="2">
        <v>0.26694443613794111</v>
      </c>
      <c r="C58" s="3">
        <v>0.56791406598822081</v>
      </c>
      <c r="D58" s="4"/>
      <c r="E58" s="5">
        <v>0.29510443689657939</v>
      </c>
      <c r="F58" s="3">
        <v>0.47451006371056353</v>
      </c>
      <c r="G58" s="4"/>
      <c r="H58" s="5">
        <v>0.32901832748659882</v>
      </c>
      <c r="I58" s="3">
        <v>0.46741324549659963</v>
      </c>
      <c r="J58" s="4"/>
      <c r="K58" s="5">
        <v>0.38830603827496307</v>
      </c>
      <c r="L58" s="2">
        <v>0.45619638228091031</v>
      </c>
      <c r="M58" s="2">
        <v>0.35438505147591765</v>
      </c>
    </row>
    <row r="59" spans="1:13" x14ac:dyDescent="0.3">
      <c r="A59" s="100"/>
      <c r="B59" s="7">
        <v>80342</v>
      </c>
      <c r="C59" s="8">
        <v>306539</v>
      </c>
      <c r="D59" s="9"/>
      <c r="E59" s="10">
        <v>220685</v>
      </c>
      <c r="F59" s="8">
        <v>623166</v>
      </c>
      <c r="G59" s="9"/>
      <c r="H59" s="10">
        <v>284183</v>
      </c>
      <c r="I59" s="8">
        <v>559668</v>
      </c>
      <c r="J59" s="9"/>
      <c r="K59" s="10">
        <v>240542</v>
      </c>
      <c r="L59" s="7">
        <v>414089</v>
      </c>
      <c r="M59" s="7">
        <v>189220</v>
      </c>
    </row>
    <row r="60" spans="1:13" x14ac:dyDescent="0.3">
      <c r="A60" s="99" t="s">
        <v>33</v>
      </c>
      <c r="B60" s="2">
        <v>0.24989949130973621</v>
      </c>
      <c r="C60" s="3">
        <v>0.18664487932666746</v>
      </c>
      <c r="D60" s="4"/>
      <c r="E60" s="5">
        <v>0.2509734962959001</v>
      </c>
      <c r="F60" s="3">
        <v>0.19857030053689875</v>
      </c>
      <c r="G60" s="4"/>
      <c r="H60" s="5">
        <v>0.24066664351128247</v>
      </c>
      <c r="I60" s="3">
        <v>0.20093237445641415</v>
      </c>
      <c r="J60" s="4"/>
      <c r="K60" s="5">
        <v>0.22393678416052562</v>
      </c>
      <c r="L60" s="2">
        <v>0.20972811471644234</v>
      </c>
      <c r="M60" s="2">
        <v>0.22356673702426683</v>
      </c>
    </row>
    <row r="61" spans="1:13" x14ac:dyDescent="0.3">
      <c r="A61" s="100"/>
      <c r="B61" s="7">
        <v>75212</v>
      </c>
      <c r="C61" s="8">
        <v>100744</v>
      </c>
      <c r="D61" s="9"/>
      <c r="E61" s="10">
        <v>187683</v>
      </c>
      <c r="F61" s="8">
        <v>260779</v>
      </c>
      <c r="G61" s="9"/>
      <c r="H61" s="10">
        <v>207871</v>
      </c>
      <c r="I61" s="8">
        <v>240591</v>
      </c>
      <c r="J61" s="9"/>
      <c r="K61" s="10">
        <v>138721</v>
      </c>
      <c r="L61" s="7">
        <v>190370</v>
      </c>
      <c r="M61" s="7">
        <v>119371</v>
      </c>
    </row>
    <row r="62" spans="1:13" x14ac:dyDescent="0.3">
      <c r="A62" s="99" t="s">
        <v>34</v>
      </c>
      <c r="B62" s="2">
        <v>0.4549937036704777</v>
      </c>
      <c r="C62" s="3">
        <v>0.59184308668804642</v>
      </c>
      <c r="D62" s="4"/>
      <c r="E62" s="5">
        <v>0.47716295365194833</v>
      </c>
      <c r="F62" s="3">
        <v>0.53589820320524972</v>
      </c>
      <c r="G62" s="4"/>
      <c r="H62" s="5">
        <v>0.49214337813900177</v>
      </c>
      <c r="I62" s="3">
        <v>0.53077779438821482</v>
      </c>
      <c r="J62" s="4"/>
      <c r="K62" s="5">
        <v>0.51656671482650351</v>
      </c>
      <c r="L62" s="2">
        <v>0.53349623608707297</v>
      </c>
      <c r="M62" s="2">
        <v>0.4801466085077134</v>
      </c>
    </row>
    <row r="63" spans="1:13" x14ac:dyDescent="0.3">
      <c r="A63" s="100"/>
      <c r="B63" s="7">
        <v>136939</v>
      </c>
      <c r="C63" s="8">
        <v>319455</v>
      </c>
      <c r="D63" s="9"/>
      <c r="E63" s="10">
        <v>356832</v>
      </c>
      <c r="F63" s="8">
        <v>703786</v>
      </c>
      <c r="G63" s="9"/>
      <c r="H63" s="10">
        <v>425079</v>
      </c>
      <c r="I63" s="8">
        <v>635539</v>
      </c>
      <c r="J63" s="9"/>
      <c r="K63" s="10">
        <v>319995</v>
      </c>
      <c r="L63" s="7">
        <v>484254</v>
      </c>
      <c r="M63" s="7">
        <v>256369</v>
      </c>
    </row>
    <row r="64" spans="1:13" x14ac:dyDescent="0.3">
      <c r="A64" s="99" t="s">
        <v>35</v>
      </c>
      <c r="B64" s="2">
        <v>6.191003060115826E-2</v>
      </c>
      <c r="C64" s="3">
        <v>0.16272141662173953</v>
      </c>
      <c r="D64" s="4"/>
      <c r="E64" s="5">
        <v>6.894439838463802E-2</v>
      </c>
      <c r="F64" s="3">
        <v>0.13718825264623086</v>
      </c>
      <c r="G64" s="4"/>
      <c r="H64" s="5">
        <v>7.7567063781505796E-2</v>
      </c>
      <c r="I64" s="3">
        <v>0.13757450685792982</v>
      </c>
      <c r="J64" s="4"/>
      <c r="K64" s="5">
        <v>9.5705164940714973E-2</v>
      </c>
      <c r="L64" s="2">
        <v>0.13243927777820622</v>
      </c>
      <c r="M64" s="2">
        <v>9.7808925738707975E-2</v>
      </c>
    </row>
    <row r="65" spans="1:13" x14ac:dyDescent="0.3">
      <c r="A65" s="100"/>
      <c r="B65" s="7">
        <v>18633</v>
      </c>
      <c r="C65" s="8">
        <v>87831</v>
      </c>
      <c r="D65" s="9"/>
      <c r="E65" s="10">
        <v>51558</v>
      </c>
      <c r="F65" s="8">
        <v>180167</v>
      </c>
      <c r="G65" s="9"/>
      <c r="H65" s="10">
        <v>66997</v>
      </c>
      <c r="I65" s="8">
        <v>164728</v>
      </c>
      <c r="J65" s="9"/>
      <c r="K65" s="10">
        <v>59286</v>
      </c>
      <c r="L65" s="7">
        <v>120215</v>
      </c>
      <c r="M65" s="7">
        <v>52224</v>
      </c>
    </row>
    <row r="66" spans="1:13" x14ac:dyDescent="0.3">
      <c r="A66" s="99" t="s">
        <v>36</v>
      </c>
      <c r="B66" s="2">
        <v>0.47437111463306852</v>
      </c>
      <c r="C66" s="3">
        <v>0.53765078376991382</v>
      </c>
      <c r="D66" s="4"/>
      <c r="E66" s="5">
        <v>0.49111550907972507</v>
      </c>
      <c r="F66" s="3">
        <v>0.51675381467665382</v>
      </c>
      <c r="G66" s="4"/>
      <c r="H66" s="5">
        <v>0.50125039074710842</v>
      </c>
      <c r="I66" s="3">
        <v>0.51192485549615696</v>
      </c>
      <c r="J66" s="4"/>
      <c r="K66" s="5">
        <v>0.51246963105260179</v>
      </c>
      <c r="L66" s="2">
        <v>0.52151208715664554</v>
      </c>
      <c r="M66" s="2">
        <v>0.47772685643865687</v>
      </c>
    </row>
    <row r="67" spans="1:13" x14ac:dyDescent="0.3">
      <c r="A67" s="100"/>
      <c r="B67" s="7">
        <v>142771</v>
      </c>
      <c r="C67" s="8">
        <v>290204</v>
      </c>
      <c r="D67" s="9"/>
      <c r="E67" s="10">
        <v>367266</v>
      </c>
      <c r="F67" s="8">
        <v>678644</v>
      </c>
      <c r="G67" s="9"/>
      <c r="H67" s="10">
        <v>432945</v>
      </c>
      <c r="I67" s="8">
        <v>612965</v>
      </c>
      <c r="J67" s="9"/>
      <c r="K67" s="10">
        <v>317457</v>
      </c>
      <c r="L67" s="7">
        <v>473376</v>
      </c>
      <c r="M67" s="7">
        <v>255077</v>
      </c>
    </row>
    <row r="68" spans="1:13" x14ac:dyDescent="0.3">
      <c r="A68" s="99" t="s">
        <v>37</v>
      </c>
      <c r="B68" s="2">
        <v>4.2532619638567429E-2</v>
      </c>
      <c r="C68" s="3">
        <v>0.21691371953987212</v>
      </c>
      <c r="D68" s="4"/>
      <c r="E68" s="5">
        <v>5.4991842956861277E-2</v>
      </c>
      <c r="F68" s="3">
        <v>0.15633264117482676</v>
      </c>
      <c r="G68" s="4"/>
      <c r="H68" s="5">
        <v>6.8460051173399095E-2</v>
      </c>
      <c r="I68" s="3">
        <v>0.15642744574998768</v>
      </c>
      <c r="J68" s="4"/>
      <c r="K68" s="5">
        <v>9.980224871461664E-2</v>
      </c>
      <c r="L68" s="2">
        <v>0.14442342670863359</v>
      </c>
      <c r="M68" s="2">
        <v>0.10022867780776455</v>
      </c>
    </row>
    <row r="69" spans="1:13" x14ac:dyDescent="0.3">
      <c r="A69" s="100"/>
      <c r="B69" s="7">
        <v>12801</v>
      </c>
      <c r="C69" s="8">
        <v>117082</v>
      </c>
      <c r="D69" s="11"/>
      <c r="E69" s="10">
        <v>41124</v>
      </c>
      <c r="F69" s="8">
        <v>205309</v>
      </c>
      <c r="G69" s="11"/>
      <c r="H69" s="10">
        <v>59131</v>
      </c>
      <c r="I69" s="8">
        <v>187302</v>
      </c>
      <c r="J69" s="11"/>
      <c r="K69" s="10">
        <v>61824</v>
      </c>
      <c r="L69" s="7">
        <v>131093</v>
      </c>
      <c r="M69" s="7">
        <v>53516</v>
      </c>
    </row>
    <row r="71" spans="1:13" x14ac:dyDescent="0.3">
      <c r="A71" s="45" t="s">
        <v>8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</row>
    <row r="72" spans="1:13" x14ac:dyDescent="0.3">
      <c r="A72" s="12"/>
      <c r="B72" s="13" t="s">
        <v>22</v>
      </c>
      <c r="C72" s="14" t="s">
        <v>23</v>
      </c>
      <c r="D72" s="43"/>
      <c r="E72" s="15" t="s">
        <v>24</v>
      </c>
      <c r="F72" s="14" t="s">
        <v>25</v>
      </c>
      <c r="G72" s="43"/>
      <c r="H72" s="15" t="s">
        <v>26</v>
      </c>
      <c r="I72" s="14" t="s">
        <v>27</v>
      </c>
      <c r="J72" s="43"/>
      <c r="K72" s="15" t="s">
        <v>28</v>
      </c>
      <c r="L72" s="13" t="s">
        <v>29</v>
      </c>
      <c r="M72" s="13" t="s">
        <v>30</v>
      </c>
    </row>
    <row r="73" spans="1:13" x14ac:dyDescent="0.3">
      <c r="A73" s="99" t="s">
        <v>31</v>
      </c>
      <c r="B73" s="2">
        <v>0.55706401655984505</v>
      </c>
      <c r="C73" s="3">
        <v>0.78969844172349712</v>
      </c>
      <c r="D73" s="4"/>
      <c r="E73" s="5">
        <v>0.58672675242705463</v>
      </c>
      <c r="F73" s="3">
        <v>0.71037164114665308</v>
      </c>
      <c r="G73" s="4"/>
      <c r="H73" s="5">
        <v>0.61122341472450881</v>
      </c>
      <c r="I73" s="3">
        <v>0.70467014038232034</v>
      </c>
      <c r="J73" s="4"/>
      <c r="K73" s="5">
        <v>0.65224346815397161</v>
      </c>
      <c r="L73" s="2">
        <v>0.70422133328339021</v>
      </c>
      <c r="M73" s="2">
        <v>0.61509273531246078</v>
      </c>
    </row>
    <row r="74" spans="1:13" x14ac:dyDescent="0.3">
      <c r="A74" s="100"/>
      <c r="B74" s="7">
        <v>167659</v>
      </c>
      <c r="C74" s="8">
        <v>426250</v>
      </c>
      <c r="D74" s="9"/>
      <c r="E74" s="10">
        <v>438766</v>
      </c>
      <c r="F74" s="8">
        <v>932919</v>
      </c>
      <c r="G74" s="9"/>
      <c r="H74" s="10">
        <v>527932</v>
      </c>
      <c r="I74" s="8">
        <v>843753</v>
      </c>
      <c r="J74" s="9"/>
      <c r="K74" s="10">
        <v>404042</v>
      </c>
      <c r="L74" s="7">
        <v>639221</v>
      </c>
      <c r="M74" s="7">
        <v>328422</v>
      </c>
    </row>
    <row r="75" spans="1:13" x14ac:dyDescent="0.3">
      <c r="A75" s="99" t="s">
        <v>32</v>
      </c>
      <c r="B75" s="2">
        <v>0.2786100894112018</v>
      </c>
      <c r="C75" s="3">
        <v>0.5842267810131484</v>
      </c>
      <c r="D75" s="4"/>
      <c r="E75" s="5">
        <v>0.30759942232087933</v>
      </c>
      <c r="F75" s="3">
        <v>0.49060103572497321</v>
      </c>
      <c r="G75" s="4"/>
      <c r="H75" s="5">
        <v>0.34256422724694058</v>
      </c>
      <c r="I75" s="3">
        <v>0.48309424047477267</v>
      </c>
      <c r="J75" s="4"/>
      <c r="K75" s="5">
        <v>0.40313012034578227</v>
      </c>
      <c r="L75" s="2">
        <v>0.47131152507604396</v>
      </c>
      <c r="M75" s="2">
        <v>0.36856831960205194</v>
      </c>
    </row>
    <row r="76" spans="1:13" x14ac:dyDescent="0.3">
      <c r="A76" s="100"/>
      <c r="B76" s="7">
        <v>83853</v>
      </c>
      <c r="C76" s="8">
        <v>315344</v>
      </c>
      <c r="D76" s="9"/>
      <c r="E76" s="10">
        <v>230029</v>
      </c>
      <c r="F76" s="8">
        <v>644298</v>
      </c>
      <c r="G76" s="9"/>
      <c r="H76" s="10">
        <v>295883</v>
      </c>
      <c r="I76" s="8">
        <v>578444</v>
      </c>
      <c r="J76" s="9"/>
      <c r="K76" s="10">
        <v>249725</v>
      </c>
      <c r="L76" s="7">
        <v>427809</v>
      </c>
      <c r="M76" s="7">
        <v>196793</v>
      </c>
    </row>
    <row r="77" spans="1:13" x14ac:dyDescent="0.3">
      <c r="A77" s="99" t="s">
        <v>33</v>
      </c>
      <c r="B77" s="2">
        <v>0.27829444228475358</v>
      </c>
      <c r="C77" s="3">
        <v>0.20546239738551919</v>
      </c>
      <c r="D77" s="4"/>
      <c r="E77" s="5">
        <v>0.27904041079404135</v>
      </c>
      <c r="F77" s="3">
        <v>0.21976222946615467</v>
      </c>
      <c r="G77" s="4"/>
      <c r="H77" s="5">
        <v>0.26858277470968939</v>
      </c>
      <c r="I77" s="3">
        <v>0.22156754829113401</v>
      </c>
      <c r="J77" s="4"/>
      <c r="K77" s="5">
        <v>0.24905039025610809</v>
      </c>
      <c r="L77" s="2">
        <v>0.23287455422998152</v>
      </c>
      <c r="M77" s="2">
        <v>0.24651505134481655</v>
      </c>
    </row>
    <row r="78" spans="1:13" x14ac:dyDescent="0.3">
      <c r="A78" s="100"/>
      <c r="B78" s="7">
        <v>83758</v>
      </c>
      <c r="C78" s="8">
        <v>110901</v>
      </c>
      <c r="D78" s="9"/>
      <c r="E78" s="10">
        <v>208672</v>
      </c>
      <c r="F78" s="8">
        <v>288610</v>
      </c>
      <c r="G78" s="9"/>
      <c r="H78" s="10">
        <v>231983</v>
      </c>
      <c r="I78" s="8">
        <v>265299</v>
      </c>
      <c r="J78" s="9"/>
      <c r="K78" s="10">
        <v>154278</v>
      </c>
      <c r="L78" s="7">
        <v>211380</v>
      </c>
      <c r="M78" s="7">
        <v>131624</v>
      </c>
    </row>
    <row r="79" spans="1:13" x14ac:dyDescent="0.3">
      <c r="A79" s="99" t="s">
        <v>34</v>
      </c>
      <c r="B79" s="2">
        <v>0.48942582126398398</v>
      </c>
      <c r="C79" s="3">
        <v>0.62072613350674277</v>
      </c>
      <c r="D79" s="4"/>
      <c r="E79" s="5">
        <v>0.51235190286432564</v>
      </c>
      <c r="F79" s="3">
        <v>0.56702706118940094</v>
      </c>
      <c r="G79" s="4"/>
      <c r="H79" s="5">
        <v>0.52800643719680918</v>
      </c>
      <c r="I79" s="3">
        <v>0.56102734903826956</v>
      </c>
      <c r="J79" s="4"/>
      <c r="K79" s="5">
        <v>0.55036200592446705</v>
      </c>
      <c r="L79" s="2">
        <v>0.56583404851167618</v>
      </c>
      <c r="M79" s="2">
        <v>0.51181314719471704</v>
      </c>
    </row>
    <row r="80" spans="1:13" x14ac:dyDescent="0.3">
      <c r="A80" s="100"/>
      <c r="B80" s="7">
        <v>147302</v>
      </c>
      <c r="C80" s="8">
        <v>335045</v>
      </c>
      <c r="D80" s="9"/>
      <c r="E80" s="10">
        <v>383147</v>
      </c>
      <c r="F80" s="8">
        <v>744667</v>
      </c>
      <c r="G80" s="9"/>
      <c r="H80" s="10">
        <v>456055</v>
      </c>
      <c r="I80" s="8">
        <v>671759</v>
      </c>
      <c r="J80" s="9"/>
      <c r="K80" s="10">
        <v>340930</v>
      </c>
      <c r="L80" s="7">
        <v>513607</v>
      </c>
      <c r="M80" s="7">
        <v>273277</v>
      </c>
    </row>
    <row r="81" spans="1:13" x14ac:dyDescent="0.3">
      <c r="A81" s="99" t="s">
        <v>35</v>
      </c>
      <c r="B81" s="2">
        <v>6.7638195295861042E-2</v>
      </c>
      <c r="C81" s="3">
        <v>0.16897230821675438</v>
      </c>
      <c r="D81" s="4"/>
      <c r="E81" s="5">
        <v>7.4374849562728995E-2</v>
      </c>
      <c r="F81" s="3">
        <v>0.14334457995725217</v>
      </c>
      <c r="G81" s="4"/>
      <c r="H81" s="5">
        <v>8.3216977527699632E-2</v>
      </c>
      <c r="I81" s="3">
        <v>0.1436427913440507</v>
      </c>
      <c r="J81" s="4"/>
      <c r="K81" s="5">
        <v>0.10188146222950449</v>
      </c>
      <c r="L81" s="2">
        <v>0.13838728477171397</v>
      </c>
      <c r="M81" s="2">
        <v>0.10327958811774379</v>
      </c>
    </row>
    <row r="82" spans="1:13" x14ac:dyDescent="0.3">
      <c r="A82" s="100"/>
      <c r="B82" s="7">
        <v>20357</v>
      </c>
      <c r="C82" s="8">
        <v>91205</v>
      </c>
      <c r="D82" s="9"/>
      <c r="E82" s="10">
        <v>55619</v>
      </c>
      <c r="F82" s="8">
        <v>188252</v>
      </c>
      <c r="G82" s="9"/>
      <c r="H82" s="10">
        <v>71877</v>
      </c>
      <c r="I82" s="8">
        <v>171994</v>
      </c>
      <c r="J82" s="9"/>
      <c r="K82" s="10">
        <v>63112</v>
      </c>
      <c r="L82" s="7">
        <v>125614</v>
      </c>
      <c r="M82" s="7">
        <v>55145</v>
      </c>
    </row>
    <row r="83" spans="1:13" x14ac:dyDescent="0.3">
      <c r="A83" s="99" t="s">
        <v>36</v>
      </c>
      <c r="B83" s="2">
        <v>0.50819187358166451</v>
      </c>
      <c r="C83" s="3">
        <v>0.56271734075881452</v>
      </c>
      <c r="D83" s="4"/>
      <c r="E83" s="5">
        <v>0.52496590088523976</v>
      </c>
      <c r="F83" s="3">
        <v>0.54472646032880956</v>
      </c>
      <c r="G83" s="4"/>
      <c r="H83" s="5">
        <v>0.53547289083394112</v>
      </c>
      <c r="I83" s="3">
        <v>0.53906009238558072</v>
      </c>
      <c r="J83" s="4"/>
      <c r="K83" s="5">
        <v>0.54396455005528965</v>
      </c>
      <c r="L83" s="2">
        <v>0.5514603409279949</v>
      </c>
      <c r="M83" s="2">
        <v>0.50648669604580299</v>
      </c>
    </row>
    <row r="84" spans="1:13" x14ac:dyDescent="0.3">
      <c r="A84" s="100"/>
      <c r="B84" s="7">
        <v>152950</v>
      </c>
      <c r="C84" s="8">
        <v>303734</v>
      </c>
      <c r="D84" s="9"/>
      <c r="E84" s="10">
        <v>392580</v>
      </c>
      <c r="F84" s="8">
        <v>715380</v>
      </c>
      <c r="G84" s="9"/>
      <c r="H84" s="10">
        <v>462504</v>
      </c>
      <c r="I84" s="8">
        <v>645456</v>
      </c>
      <c r="J84" s="9"/>
      <c r="K84" s="10">
        <v>336967</v>
      </c>
      <c r="L84" s="7">
        <v>500560</v>
      </c>
      <c r="M84" s="7">
        <v>270433</v>
      </c>
    </row>
    <row r="85" spans="1:13" x14ac:dyDescent="0.3">
      <c r="A85" s="99" t="s">
        <v>37</v>
      </c>
      <c r="B85" s="2">
        <v>4.8872142978180474E-2</v>
      </c>
      <c r="C85" s="3">
        <v>0.22698110096468266</v>
      </c>
      <c r="D85" s="4"/>
      <c r="E85" s="5">
        <v>6.1760851541814876E-2</v>
      </c>
      <c r="F85" s="3">
        <v>0.16564518081784352</v>
      </c>
      <c r="G85" s="4"/>
      <c r="H85" s="5">
        <v>7.5750523890567648E-2</v>
      </c>
      <c r="I85" s="3">
        <v>0.16561004799673953</v>
      </c>
      <c r="J85" s="4"/>
      <c r="K85" s="5">
        <v>0.10827891809868193</v>
      </c>
      <c r="L85" s="2">
        <v>0.15276099235539534</v>
      </c>
      <c r="M85" s="2">
        <v>0.10860603926665781</v>
      </c>
    </row>
    <row r="86" spans="1:13" x14ac:dyDescent="0.3">
      <c r="A86" s="100"/>
      <c r="B86" s="7">
        <v>14709</v>
      </c>
      <c r="C86" s="8">
        <v>122516</v>
      </c>
      <c r="D86" s="11"/>
      <c r="E86" s="10">
        <v>46186</v>
      </c>
      <c r="F86" s="8">
        <v>217539</v>
      </c>
      <c r="G86" s="11"/>
      <c r="H86" s="10">
        <v>65428</v>
      </c>
      <c r="I86" s="8">
        <v>198297</v>
      </c>
      <c r="J86" s="11"/>
      <c r="K86" s="10">
        <v>67075</v>
      </c>
      <c r="L86" s="7">
        <v>138661</v>
      </c>
      <c r="M86" s="7">
        <v>57989</v>
      </c>
    </row>
    <row r="88" spans="1:13" x14ac:dyDescent="0.3">
      <c r="A88" s="45" t="s">
        <v>9</v>
      </c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</row>
    <row r="89" spans="1:13" x14ac:dyDescent="0.3">
      <c r="A89" s="12"/>
      <c r="B89" s="13" t="s">
        <v>22</v>
      </c>
      <c r="C89" s="14" t="s">
        <v>23</v>
      </c>
      <c r="D89" s="43"/>
      <c r="E89" s="15" t="s">
        <v>24</v>
      </c>
      <c r="F89" s="14" t="s">
        <v>25</v>
      </c>
      <c r="G89" s="43"/>
      <c r="H89" s="15" t="s">
        <v>26</v>
      </c>
      <c r="I89" s="14" t="s">
        <v>27</v>
      </c>
      <c r="J89" s="43"/>
      <c r="K89" s="15" t="s">
        <v>28</v>
      </c>
      <c r="L89" s="13" t="s">
        <v>29</v>
      </c>
      <c r="M89" s="13" t="s">
        <v>30</v>
      </c>
    </row>
    <row r="90" spans="1:13" x14ac:dyDescent="0.3">
      <c r="A90" s="99" t="s">
        <v>31</v>
      </c>
      <c r="B90" s="2">
        <v>0.61833092492816699</v>
      </c>
      <c r="C90" s="3">
        <v>0.81128026301586398</v>
      </c>
      <c r="D90" s="4"/>
      <c r="E90" s="5">
        <v>0.63079533679787614</v>
      </c>
      <c r="F90" s="3">
        <v>0.73754241269509835</v>
      </c>
      <c r="G90" s="4"/>
      <c r="H90" s="5">
        <v>0.65125498908882062</v>
      </c>
      <c r="I90" s="3">
        <v>0.73248776520864345</v>
      </c>
      <c r="J90" s="4"/>
      <c r="K90" s="5">
        <v>0.68726138757240651</v>
      </c>
      <c r="L90" s="2">
        <v>0.73487790478463699</v>
      </c>
      <c r="M90" s="2">
        <v>0.64983209860088342</v>
      </c>
    </row>
    <row r="91" spans="1:13" x14ac:dyDescent="0.3">
      <c r="A91" s="100"/>
      <c r="B91" s="7">
        <v>184424</v>
      </c>
      <c r="C91" s="8">
        <v>443432</v>
      </c>
      <c r="D91" s="9"/>
      <c r="E91" s="10">
        <v>475450</v>
      </c>
      <c r="F91" s="8">
        <v>989037</v>
      </c>
      <c r="G91" s="9"/>
      <c r="H91" s="10">
        <v>560162</v>
      </c>
      <c r="I91" s="8">
        <v>904325</v>
      </c>
      <c r="J91" s="9"/>
      <c r="K91" s="10">
        <v>417635</v>
      </c>
      <c r="L91" s="7">
        <v>695814</v>
      </c>
      <c r="M91" s="7">
        <v>351038</v>
      </c>
    </row>
    <row r="92" spans="1:13" x14ac:dyDescent="0.3">
      <c r="A92" s="99" t="s">
        <v>32</v>
      </c>
      <c r="B92" s="2">
        <v>0.29694462232742463</v>
      </c>
      <c r="C92" s="3">
        <v>0.60404732675549733</v>
      </c>
      <c r="D92" s="4"/>
      <c r="E92" s="5">
        <v>0.31799673888960384</v>
      </c>
      <c r="F92" s="3">
        <v>0.50675993109568307</v>
      </c>
      <c r="G92" s="4"/>
      <c r="H92" s="5">
        <v>0.35066216965634145</v>
      </c>
      <c r="I92" s="3">
        <v>0.5002697242980283</v>
      </c>
      <c r="J92" s="4"/>
      <c r="K92" s="5">
        <v>0.41106338862559244</v>
      </c>
      <c r="L92" s="2">
        <v>0.485152237488158</v>
      </c>
      <c r="M92" s="2">
        <v>0.38890554944668437</v>
      </c>
    </row>
    <row r="93" spans="1:13" x14ac:dyDescent="0.3">
      <c r="A93" s="100"/>
      <c r="B93" s="7">
        <v>88567</v>
      </c>
      <c r="C93" s="8">
        <v>330162</v>
      </c>
      <c r="D93" s="9"/>
      <c r="E93" s="10">
        <v>239684</v>
      </c>
      <c r="F93" s="8">
        <v>679560</v>
      </c>
      <c r="G93" s="9"/>
      <c r="H93" s="10">
        <v>301614</v>
      </c>
      <c r="I93" s="8">
        <v>617630</v>
      </c>
      <c r="J93" s="9"/>
      <c r="K93" s="10">
        <v>249795</v>
      </c>
      <c r="L93" s="7">
        <v>459363</v>
      </c>
      <c r="M93" s="7">
        <v>210086</v>
      </c>
    </row>
    <row r="94" spans="1:13" x14ac:dyDescent="0.3">
      <c r="A94" s="99" t="s">
        <v>33</v>
      </c>
      <c r="B94" s="2">
        <v>0.32128907232256315</v>
      </c>
      <c r="C94" s="3">
        <v>0.20722927716376105</v>
      </c>
      <c r="D94" s="4"/>
      <c r="E94" s="5">
        <v>0.31274685531044893</v>
      </c>
      <c r="F94" s="3">
        <v>0.23077353298682315</v>
      </c>
      <c r="G94" s="4"/>
      <c r="H94" s="5">
        <v>0.30054631467213561</v>
      </c>
      <c r="I94" s="3">
        <v>0.23220913109896857</v>
      </c>
      <c r="J94" s="4"/>
      <c r="K94" s="5">
        <v>0.27616344128488679</v>
      </c>
      <c r="L94" s="2">
        <v>0.24969926376389751</v>
      </c>
      <c r="M94" s="2">
        <v>0.26091729328875707</v>
      </c>
    </row>
    <row r="95" spans="1:13" x14ac:dyDescent="0.3">
      <c r="A95" s="100"/>
      <c r="B95" s="7">
        <v>95828</v>
      </c>
      <c r="C95" s="8">
        <v>113268</v>
      </c>
      <c r="D95" s="9"/>
      <c r="E95" s="10">
        <v>235727</v>
      </c>
      <c r="F95" s="8">
        <v>309465</v>
      </c>
      <c r="G95" s="9"/>
      <c r="H95" s="10">
        <v>258508</v>
      </c>
      <c r="I95" s="8">
        <v>286684</v>
      </c>
      <c r="J95" s="9"/>
      <c r="K95" s="10">
        <v>167819</v>
      </c>
      <c r="L95" s="7">
        <v>236426</v>
      </c>
      <c r="M95" s="7">
        <v>140947</v>
      </c>
    </row>
    <row r="96" spans="1:13" x14ac:dyDescent="0.3">
      <c r="A96" s="99" t="s">
        <v>34</v>
      </c>
      <c r="B96" s="2">
        <v>0.55116156654741988</v>
      </c>
      <c r="C96" s="3">
        <v>0.63295601948834856</v>
      </c>
      <c r="D96" s="4"/>
      <c r="E96" s="5">
        <v>0.55697457050326971</v>
      </c>
      <c r="F96" s="3">
        <v>0.58982691891811279</v>
      </c>
      <c r="G96" s="4"/>
      <c r="H96" s="5">
        <v>0.56939382207511213</v>
      </c>
      <c r="I96" s="3">
        <v>0.58400575411835798</v>
      </c>
      <c r="J96" s="4"/>
      <c r="K96" s="5">
        <v>0.58586756187467093</v>
      </c>
      <c r="L96" s="2">
        <v>0.59384818813678719</v>
      </c>
      <c r="M96" s="2">
        <v>0.54139408142940182</v>
      </c>
    </row>
    <row r="97" spans="1:13" x14ac:dyDescent="0.3">
      <c r="A97" s="100"/>
      <c r="B97" s="7">
        <v>164390</v>
      </c>
      <c r="C97" s="8">
        <v>345963</v>
      </c>
      <c r="D97" s="9"/>
      <c r="E97" s="10">
        <v>419809</v>
      </c>
      <c r="F97" s="8">
        <v>790952</v>
      </c>
      <c r="G97" s="9"/>
      <c r="H97" s="10">
        <v>489751</v>
      </c>
      <c r="I97" s="8">
        <v>721010</v>
      </c>
      <c r="J97" s="9"/>
      <c r="K97" s="10">
        <v>356020</v>
      </c>
      <c r="L97" s="7">
        <v>562281</v>
      </c>
      <c r="M97" s="7">
        <v>292460</v>
      </c>
    </row>
    <row r="98" spans="1:13" x14ac:dyDescent="0.3">
      <c r="A98" s="99" t="s">
        <v>35</v>
      </c>
      <c r="B98" s="2">
        <v>6.7169358380747057E-2</v>
      </c>
      <c r="C98" s="3">
        <v>0.1783242435275155</v>
      </c>
      <c r="D98" s="4"/>
      <c r="E98" s="5">
        <v>7.3820766294606432E-2</v>
      </c>
      <c r="F98" s="3">
        <v>0.14771549377698567</v>
      </c>
      <c r="G98" s="4"/>
      <c r="H98" s="5">
        <v>8.1861167013708436E-2</v>
      </c>
      <c r="I98" s="3">
        <v>0.14848201109028555</v>
      </c>
      <c r="J98" s="4"/>
      <c r="K98" s="5">
        <v>0.10139382569773565</v>
      </c>
      <c r="L98" s="2">
        <v>0.14102971664784975</v>
      </c>
      <c r="M98" s="2">
        <v>0.10843801717148156</v>
      </c>
    </row>
    <row r="99" spans="1:13" x14ac:dyDescent="0.3">
      <c r="A99" s="100"/>
      <c r="B99" s="7">
        <v>20034</v>
      </c>
      <c r="C99" s="8">
        <v>97469</v>
      </c>
      <c r="D99" s="9"/>
      <c r="E99" s="10">
        <v>55641</v>
      </c>
      <c r="F99" s="8">
        <v>198085</v>
      </c>
      <c r="G99" s="9"/>
      <c r="H99" s="10">
        <v>70411</v>
      </c>
      <c r="I99" s="8">
        <v>183315</v>
      </c>
      <c r="J99" s="9"/>
      <c r="K99" s="10">
        <v>61615</v>
      </c>
      <c r="L99" s="7">
        <v>133533</v>
      </c>
      <c r="M99" s="7">
        <v>58578</v>
      </c>
    </row>
    <row r="100" spans="1:13" x14ac:dyDescent="0.3">
      <c r="A100" s="99" t="s">
        <v>36</v>
      </c>
      <c r="B100" s="2">
        <v>0.56934698133513939</v>
      </c>
      <c r="C100" s="3">
        <v>0.57489713364667394</v>
      </c>
      <c r="D100" s="4"/>
      <c r="E100" s="5">
        <v>0.56940340784709664</v>
      </c>
      <c r="F100" s="3">
        <v>0.5672160120507983</v>
      </c>
      <c r="G100" s="4"/>
      <c r="H100" s="5">
        <v>0.57507670378909159</v>
      </c>
      <c r="I100" s="3">
        <v>0.56307498659478339</v>
      </c>
      <c r="J100" s="4"/>
      <c r="K100" s="5">
        <v>0.57740258030542391</v>
      </c>
      <c r="L100" s="2">
        <v>0.57976559999915511</v>
      </c>
      <c r="M100" s="2">
        <v>0.53681242803564622</v>
      </c>
    </row>
    <row r="101" spans="1:13" x14ac:dyDescent="0.3">
      <c r="A101" s="100"/>
      <c r="B101" s="7">
        <v>169814</v>
      </c>
      <c r="C101" s="8">
        <v>314229</v>
      </c>
      <c r="D101" s="9"/>
      <c r="E101" s="10">
        <v>429177</v>
      </c>
      <c r="F101" s="8">
        <v>760631</v>
      </c>
      <c r="G101" s="9"/>
      <c r="H101" s="10">
        <v>494639</v>
      </c>
      <c r="I101" s="8">
        <v>695169</v>
      </c>
      <c r="J101" s="9"/>
      <c r="K101" s="10">
        <v>350876</v>
      </c>
      <c r="L101" s="7">
        <v>548947</v>
      </c>
      <c r="M101" s="7">
        <v>289985</v>
      </c>
    </row>
    <row r="102" spans="1:13" x14ac:dyDescent="0.3">
      <c r="A102" s="99" t="s">
        <v>37</v>
      </c>
      <c r="B102" s="2">
        <v>4.898394359302758E-2</v>
      </c>
      <c r="C102" s="3">
        <v>0.23638312936919004</v>
      </c>
      <c r="D102" s="4"/>
      <c r="E102" s="5">
        <v>6.1391928950779523E-2</v>
      </c>
      <c r="F102" s="3">
        <v>0.1703264006443001</v>
      </c>
      <c r="G102" s="4"/>
      <c r="H102" s="5">
        <v>7.617828529972899E-2</v>
      </c>
      <c r="I102" s="3">
        <v>0.16941277861386012</v>
      </c>
      <c r="J102" s="4"/>
      <c r="K102" s="5">
        <v>0.10985880726698262</v>
      </c>
      <c r="L102" s="2">
        <v>0.15511230478548185</v>
      </c>
      <c r="M102" s="2">
        <v>0.11301967056523719</v>
      </c>
    </row>
    <row r="103" spans="1:13" x14ac:dyDescent="0.3">
      <c r="A103" s="100"/>
      <c r="B103" s="7">
        <v>14610</v>
      </c>
      <c r="C103" s="8">
        <v>129203</v>
      </c>
      <c r="D103" s="11"/>
      <c r="E103" s="10">
        <v>46273</v>
      </c>
      <c r="F103" s="8">
        <v>228406</v>
      </c>
      <c r="G103" s="11"/>
      <c r="H103" s="10">
        <v>65523</v>
      </c>
      <c r="I103" s="8">
        <v>209156</v>
      </c>
      <c r="J103" s="11"/>
      <c r="K103" s="10">
        <v>66759</v>
      </c>
      <c r="L103" s="7">
        <v>146867</v>
      </c>
      <c r="M103" s="7">
        <v>61053</v>
      </c>
    </row>
    <row r="105" spans="1:13" x14ac:dyDescent="0.3">
      <c r="A105" s="45" t="s">
        <v>10</v>
      </c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</row>
    <row r="106" spans="1:13" x14ac:dyDescent="0.3">
      <c r="A106" s="12"/>
      <c r="B106" s="13" t="s">
        <v>22</v>
      </c>
      <c r="C106" s="14" t="s">
        <v>23</v>
      </c>
      <c r="D106" s="43"/>
      <c r="E106" s="15" t="s">
        <v>24</v>
      </c>
      <c r="F106" s="14" t="s">
        <v>25</v>
      </c>
      <c r="G106" s="43"/>
      <c r="H106" s="15" t="s">
        <v>26</v>
      </c>
      <c r="I106" s="14" t="s">
        <v>27</v>
      </c>
      <c r="J106" s="43"/>
      <c r="K106" s="15" t="s">
        <v>28</v>
      </c>
      <c r="L106" s="13" t="s">
        <v>29</v>
      </c>
      <c r="M106" s="13" t="s">
        <v>30</v>
      </c>
    </row>
    <row r="107" spans="1:13" x14ac:dyDescent="0.3">
      <c r="A107" s="99" t="s">
        <v>31</v>
      </c>
      <c r="B107" s="2">
        <v>0.71982747538117398</v>
      </c>
      <c r="C107" s="3">
        <v>0.89686608427493208</v>
      </c>
      <c r="D107" s="4"/>
      <c r="E107" s="5">
        <v>0.75453855383334556</v>
      </c>
      <c r="F107" s="3">
        <v>0.85916106399322134</v>
      </c>
      <c r="G107" s="4"/>
      <c r="H107" s="5">
        <v>0.77840211674619364</v>
      </c>
      <c r="I107" s="3">
        <v>0.85542825082128837</v>
      </c>
      <c r="J107" s="4"/>
      <c r="K107" s="5">
        <v>0.80824771080017188</v>
      </c>
      <c r="L107" s="2">
        <v>0.85247216978869056</v>
      </c>
      <c r="M107" s="2">
        <v>0.79638228994176796</v>
      </c>
    </row>
    <row r="108" spans="1:13" x14ac:dyDescent="0.3">
      <c r="A108" s="100"/>
      <c r="B108" s="7">
        <v>111985</v>
      </c>
      <c r="C108" s="8">
        <v>365281</v>
      </c>
      <c r="D108" s="9"/>
      <c r="E108" s="10">
        <v>308146</v>
      </c>
      <c r="F108" s="8">
        <v>759458</v>
      </c>
      <c r="G108" s="9"/>
      <c r="H108" s="10">
        <v>383033</v>
      </c>
      <c r="I108" s="8">
        <v>684571</v>
      </c>
      <c r="J108" s="9"/>
      <c r="K108" s="10">
        <v>306553</v>
      </c>
      <c r="L108" s="7">
        <v>515293</v>
      </c>
      <c r="M108" s="7">
        <v>245758</v>
      </c>
    </row>
    <row r="109" spans="1:13" x14ac:dyDescent="0.3">
      <c r="A109" s="99" t="s">
        <v>32</v>
      </c>
      <c r="B109" s="2">
        <v>0.80243210276069799</v>
      </c>
      <c r="C109" s="3">
        <v>0.93914966774211439</v>
      </c>
      <c r="D109" s="4"/>
      <c r="E109" s="5">
        <v>0.83419806511543604</v>
      </c>
      <c r="F109" s="3">
        <v>0.91405500300080555</v>
      </c>
      <c r="G109" s="4"/>
      <c r="H109" s="5">
        <v>0.85328467923837814</v>
      </c>
      <c r="I109" s="3">
        <v>0.91342367260590207</v>
      </c>
      <c r="J109" s="4"/>
      <c r="K109" s="5">
        <v>0.87753074307189594</v>
      </c>
      <c r="L109" s="2">
        <v>0.91088147717036672</v>
      </c>
      <c r="M109" s="2">
        <v>0.87429447204312438</v>
      </c>
    </row>
    <row r="110" spans="1:13" x14ac:dyDescent="0.3">
      <c r="A110" s="100"/>
      <c r="B110" s="7">
        <v>64469</v>
      </c>
      <c r="C110" s="8">
        <v>287886</v>
      </c>
      <c r="D110" s="9"/>
      <c r="E110" s="10">
        <v>184095</v>
      </c>
      <c r="F110" s="8">
        <v>569608</v>
      </c>
      <c r="G110" s="9"/>
      <c r="H110" s="10">
        <v>242489</v>
      </c>
      <c r="I110" s="8">
        <v>511214</v>
      </c>
      <c r="J110" s="9"/>
      <c r="K110" s="10">
        <v>211083</v>
      </c>
      <c r="L110" s="7">
        <v>377186</v>
      </c>
      <c r="M110" s="7">
        <v>165434</v>
      </c>
    </row>
    <row r="111" spans="1:13" x14ac:dyDescent="0.3">
      <c r="A111" s="99" t="s">
        <v>33</v>
      </c>
      <c r="B111" s="2">
        <v>0.63174759346912723</v>
      </c>
      <c r="C111" s="3">
        <v>0.7682343365361709</v>
      </c>
      <c r="D111" s="4"/>
      <c r="E111" s="5">
        <v>0.66094957987670699</v>
      </c>
      <c r="F111" s="3">
        <v>0.72800340518216577</v>
      </c>
      <c r="G111" s="4"/>
      <c r="H111" s="5">
        <v>0.67609238421905893</v>
      </c>
      <c r="I111" s="3">
        <v>0.72054648760759965</v>
      </c>
      <c r="J111" s="4"/>
      <c r="K111" s="5">
        <v>0.68819428925685366</v>
      </c>
      <c r="L111" s="2">
        <v>0.72546094447654563</v>
      </c>
      <c r="M111" s="2">
        <v>0.67289375141365992</v>
      </c>
    </row>
    <row r="112" spans="1:13" x14ac:dyDescent="0.3">
      <c r="A112" s="100"/>
      <c r="B112" s="7">
        <v>47515</v>
      </c>
      <c r="C112" s="8">
        <v>77395</v>
      </c>
      <c r="D112" s="9"/>
      <c r="E112" s="10">
        <v>124049</v>
      </c>
      <c r="F112" s="8">
        <v>189848</v>
      </c>
      <c r="G112" s="9"/>
      <c r="H112" s="10">
        <v>140540</v>
      </c>
      <c r="I112" s="8">
        <v>173357</v>
      </c>
      <c r="J112" s="9"/>
      <c r="K112" s="10">
        <v>95467</v>
      </c>
      <c r="L112" s="7">
        <v>138106</v>
      </c>
      <c r="M112" s="7">
        <v>80324</v>
      </c>
    </row>
    <row r="113" spans="1:13" x14ac:dyDescent="0.3">
      <c r="A113" s="99" t="s">
        <v>34</v>
      </c>
      <c r="B113" s="2">
        <v>0.71632624745324558</v>
      </c>
      <c r="C113" s="3">
        <v>0.88580238218215401</v>
      </c>
      <c r="D113" s="4"/>
      <c r="E113" s="5">
        <v>0.74848388036947355</v>
      </c>
      <c r="F113" s="3">
        <v>0.84539334399945443</v>
      </c>
      <c r="G113" s="4"/>
      <c r="H113" s="5">
        <v>0.77176713034518285</v>
      </c>
      <c r="I113" s="3">
        <v>0.84022695696094185</v>
      </c>
      <c r="J113" s="4"/>
      <c r="K113" s="5">
        <v>0.79886873232394251</v>
      </c>
      <c r="L113" s="2">
        <v>0.83863633547683658</v>
      </c>
      <c r="M113" s="2">
        <v>0.78134251801114796</v>
      </c>
    </row>
    <row r="114" spans="1:13" x14ac:dyDescent="0.3">
      <c r="A114" s="100"/>
      <c r="B114" s="7">
        <v>98093</v>
      </c>
      <c r="C114" s="8">
        <v>282974</v>
      </c>
      <c r="D114" s="9"/>
      <c r="E114" s="10">
        <v>267083</v>
      </c>
      <c r="F114" s="8">
        <v>594976</v>
      </c>
      <c r="G114" s="9"/>
      <c r="H114" s="10">
        <v>328062</v>
      </c>
      <c r="I114" s="8">
        <v>533997</v>
      </c>
      <c r="J114" s="9"/>
      <c r="K114" s="10">
        <v>255634</v>
      </c>
      <c r="L114" s="7">
        <v>406113</v>
      </c>
      <c r="M114" s="7">
        <v>200312</v>
      </c>
    </row>
    <row r="115" spans="1:13" x14ac:dyDescent="0.3">
      <c r="A115" s="99" t="s">
        <v>35</v>
      </c>
      <c r="B115" s="2">
        <v>0.74555895454301513</v>
      </c>
      <c r="C115" s="3">
        <v>0.93710648859742007</v>
      </c>
      <c r="D115" s="4"/>
      <c r="E115" s="5">
        <v>0.79644284107219054</v>
      </c>
      <c r="F115" s="3">
        <v>0.91294188169864621</v>
      </c>
      <c r="G115" s="4"/>
      <c r="H115" s="5">
        <v>0.82049942534740361</v>
      </c>
      <c r="I115" s="3">
        <v>0.91407653829342916</v>
      </c>
      <c r="J115" s="4"/>
      <c r="K115" s="5">
        <v>0.8588705596599534</v>
      </c>
      <c r="L115" s="2">
        <v>0.90820613068252709</v>
      </c>
      <c r="M115" s="2">
        <v>0.87021292892156865</v>
      </c>
    </row>
    <row r="116" spans="1:13" x14ac:dyDescent="0.3">
      <c r="A116" s="100"/>
      <c r="B116" s="7">
        <v>13892</v>
      </c>
      <c r="C116" s="8">
        <v>82307</v>
      </c>
      <c r="D116" s="9"/>
      <c r="E116" s="10">
        <v>41063</v>
      </c>
      <c r="F116" s="8">
        <v>164482</v>
      </c>
      <c r="G116" s="9"/>
      <c r="H116" s="10">
        <v>54971</v>
      </c>
      <c r="I116" s="8">
        <v>150574</v>
      </c>
      <c r="J116" s="9"/>
      <c r="K116" s="10">
        <v>50919</v>
      </c>
      <c r="L116" s="7">
        <v>109180</v>
      </c>
      <c r="M116" s="7">
        <v>45446</v>
      </c>
    </row>
    <row r="117" spans="1:13" x14ac:dyDescent="0.3">
      <c r="A117" s="99" t="s">
        <v>36</v>
      </c>
      <c r="B117" s="2">
        <v>0.71787687975849435</v>
      </c>
      <c r="C117" s="3">
        <v>0.87922289148323252</v>
      </c>
      <c r="D117" s="4"/>
      <c r="E117" s="5">
        <v>0.7501538394515147</v>
      </c>
      <c r="F117" s="3">
        <v>0.84178597320539195</v>
      </c>
      <c r="G117" s="4"/>
      <c r="H117" s="5">
        <v>0.77119726524154342</v>
      </c>
      <c r="I117" s="3">
        <v>0.83674108635892752</v>
      </c>
      <c r="J117" s="4"/>
      <c r="K117" s="5">
        <v>0.79435010095855507</v>
      </c>
      <c r="L117" s="2">
        <v>0.83433676401000478</v>
      </c>
      <c r="M117" s="2">
        <v>0.78271267107579279</v>
      </c>
    </row>
    <row r="118" spans="1:13" x14ac:dyDescent="0.3">
      <c r="A118" s="100"/>
      <c r="B118" s="7">
        <v>102492</v>
      </c>
      <c r="C118" s="8">
        <v>255154</v>
      </c>
      <c r="D118" s="9"/>
      <c r="E118" s="10">
        <v>275506</v>
      </c>
      <c r="F118" s="8">
        <v>571273</v>
      </c>
      <c r="G118" s="9"/>
      <c r="H118" s="10">
        <v>333886</v>
      </c>
      <c r="I118" s="8">
        <v>512893</v>
      </c>
      <c r="J118" s="9"/>
      <c r="K118" s="10">
        <v>252172</v>
      </c>
      <c r="L118" s="7">
        <v>394955</v>
      </c>
      <c r="M118" s="7">
        <v>199652</v>
      </c>
    </row>
    <row r="119" spans="1:13" x14ac:dyDescent="0.3">
      <c r="A119" s="99" t="s">
        <v>37</v>
      </c>
      <c r="B119" s="2">
        <v>0.74158268885243339</v>
      </c>
      <c r="C119" s="3">
        <v>0.94059718829538275</v>
      </c>
      <c r="D119" s="4"/>
      <c r="E119" s="5">
        <v>0.79369711117595565</v>
      </c>
      <c r="F119" s="3">
        <v>0.91659401195271517</v>
      </c>
      <c r="G119" s="4"/>
      <c r="H119" s="5">
        <v>0.83115455514028169</v>
      </c>
      <c r="I119" s="3">
        <v>0.91658391261171801</v>
      </c>
      <c r="J119" s="4"/>
      <c r="K119" s="5">
        <v>0.87960986024844723</v>
      </c>
      <c r="L119" s="2">
        <v>0.91795900620170412</v>
      </c>
      <c r="M119" s="2">
        <v>0.86153673667688169</v>
      </c>
    </row>
    <row r="120" spans="1:13" x14ac:dyDescent="0.3">
      <c r="A120" s="100"/>
      <c r="B120" s="7">
        <v>9493</v>
      </c>
      <c r="C120" s="8">
        <v>110127</v>
      </c>
      <c r="D120" s="11"/>
      <c r="E120" s="10">
        <v>32640</v>
      </c>
      <c r="F120" s="8">
        <v>188185</v>
      </c>
      <c r="G120" s="11"/>
      <c r="H120" s="10">
        <v>49147</v>
      </c>
      <c r="I120" s="8">
        <v>171678</v>
      </c>
      <c r="J120" s="11"/>
      <c r="K120" s="10">
        <v>54381</v>
      </c>
      <c r="L120" s="7">
        <v>120338</v>
      </c>
      <c r="M120" s="7">
        <v>46106</v>
      </c>
    </row>
    <row r="122" spans="1:13" x14ac:dyDescent="0.3">
      <c r="A122" s="45" t="s">
        <v>11</v>
      </c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</row>
    <row r="123" spans="1:13" x14ac:dyDescent="0.3">
      <c r="A123" s="12"/>
      <c r="B123" s="13" t="s">
        <v>22</v>
      </c>
      <c r="C123" s="14" t="s">
        <v>23</v>
      </c>
      <c r="D123" s="43"/>
      <c r="E123" s="15" t="s">
        <v>24</v>
      </c>
      <c r="F123" s="14" t="s">
        <v>25</v>
      </c>
      <c r="G123" s="43"/>
      <c r="H123" s="15" t="s">
        <v>26</v>
      </c>
      <c r="I123" s="14" t="s">
        <v>27</v>
      </c>
      <c r="J123" s="43"/>
      <c r="K123" s="15" t="s">
        <v>28</v>
      </c>
      <c r="L123" s="13" t="s">
        <v>29</v>
      </c>
      <c r="M123" s="13" t="s">
        <v>30</v>
      </c>
    </row>
    <row r="124" spans="1:13" x14ac:dyDescent="0.3">
      <c r="A124" s="99" t="s">
        <v>31</v>
      </c>
      <c r="B124" s="2">
        <v>0.72713719666007226</v>
      </c>
      <c r="C124" s="3">
        <v>0.89792925277292668</v>
      </c>
      <c r="D124" s="4"/>
      <c r="E124" s="5">
        <v>0.75739347597519824</v>
      </c>
      <c r="F124" s="3">
        <v>0.86133434300408596</v>
      </c>
      <c r="G124" s="4"/>
      <c r="H124" s="5">
        <v>0.77833852528599368</v>
      </c>
      <c r="I124" s="3">
        <v>0.85815012418360781</v>
      </c>
      <c r="J124" s="4"/>
      <c r="K124" s="5">
        <v>0.8060756835143954</v>
      </c>
      <c r="L124" s="2">
        <v>0.85200743688725944</v>
      </c>
      <c r="M124" s="2">
        <v>0.80517002496327172</v>
      </c>
    </row>
    <row r="125" spans="1:13" x14ac:dyDescent="0.3">
      <c r="A125" s="100"/>
      <c r="B125" s="7">
        <v>128275</v>
      </c>
      <c r="C125" s="8">
        <v>385103</v>
      </c>
      <c r="D125" s="9"/>
      <c r="E125" s="10">
        <v>343612</v>
      </c>
      <c r="F125" s="8">
        <v>818961</v>
      </c>
      <c r="G125" s="9"/>
      <c r="H125" s="10">
        <v>416257</v>
      </c>
      <c r="I125" s="8">
        <v>746316</v>
      </c>
      <c r="J125" s="9"/>
      <c r="K125" s="10">
        <v>322394</v>
      </c>
      <c r="L125" s="7">
        <v>570534</v>
      </c>
      <c r="M125" s="7">
        <v>269645</v>
      </c>
    </row>
    <row r="126" spans="1:13" x14ac:dyDescent="0.3">
      <c r="A126" s="99" t="s">
        <v>32</v>
      </c>
      <c r="B126" s="2">
        <v>0.83701384119297351</v>
      </c>
      <c r="C126" s="3">
        <v>0.9451411094119283</v>
      </c>
      <c r="D126" s="4"/>
      <c r="E126" s="5">
        <v>0.85888632329881276</v>
      </c>
      <c r="F126" s="3">
        <v>0.92416009841819291</v>
      </c>
      <c r="G126" s="4"/>
      <c r="H126" s="5">
        <v>0.87344246608113185</v>
      </c>
      <c r="I126" s="3">
        <v>0.92364311379629538</v>
      </c>
      <c r="J126" s="4"/>
      <c r="K126" s="5">
        <v>0.89405797519113039</v>
      </c>
      <c r="L126" s="2">
        <v>0.92174707317344862</v>
      </c>
      <c r="M126" s="2">
        <v>0.89098113541063129</v>
      </c>
    </row>
    <row r="127" spans="1:13" x14ac:dyDescent="0.3">
      <c r="A127" s="100"/>
      <c r="B127" s="7">
        <v>71902</v>
      </c>
      <c r="C127" s="8">
        <v>305928</v>
      </c>
      <c r="D127" s="9"/>
      <c r="E127" s="10">
        <v>199375</v>
      </c>
      <c r="F127" s="8">
        <v>612988</v>
      </c>
      <c r="G127" s="9"/>
      <c r="H127" s="10">
        <v>255578</v>
      </c>
      <c r="I127" s="8">
        <v>556785</v>
      </c>
      <c r="J127" s="9"/>
      <c r="K127" s="10">
        <v>217164</v>
      </c>
      <c r="L127" s="7">
        <v>413740</v>
      </c>
      <c r="M127" s="7">
        <v>181459</v>
      </c>
    </row>
    <row r="128" spans="1:13" x14ac:dyDescent="0.3">
      <c r="A128" s="99" t="s">
        <v>33</v>
      </c>
      <c r="B128" s="2">
        <v>0.62291839328139675</v>
      </c>
      <c r="C128" s="3">
        <v>0.75266179937637845</v>
      </c>
      <c r="D128" s="4"/>
      <c r="E128" s="5">
        <v>0.65108993486121336</v>
      </c>
      <c r="F128" s="3">
        <v>0.71640939667346071</v>
      </c>
      <c r="G128" s="4"/>
      <c r="H128" s="5">
        <v>0.66347611005355678</v>
      </c>
      <c r="I128" s="3">
        <v>0.71022258862324816</v>
      </c>
      <c r="J128" s="4"/>
      <c r="K128" s="5">
        <v>0.67003928710147787</v>
      </c>
      <c r="L128" s="2">
        <v>0.71024248381704769</v>
      </c>
      <c r="M128" s="2">
        <v>0.67201109527764868</v>
      </c>
    </row>
    <row r="129" spans="1:13" x14ac:dyDescent="0.3">
      <c r="A129" s="100"/>
      <c r="B129" s="7">
        <v>56371</v>
      </c>
      <c r="C129" s="8">
        <v>79174</v>
      </c>
      <c r="D129" s="9"/>
      <c r="E129" s="10">
        <v>144234</v>
      </c>
      <c r="F129" s="8">
        <v>205972</v>
      </c>
      <c r="G129" s="9"/>
      <c r="H129" s="10">
        <v>160676</v>
      </c>
      <c r="I129" s="8">
        <v>189530</v>
      </c>
      <c r="J129" s="9"/>
      <c r="K129" s="10">
        <v>105229</v>
      </c>
      <c r="L129" s="7">
        <v>156791</v>
      </c>
      <c r="M129" s="7">
        <v>88186</v>
      </c>
    </row>
    <row r="130" spans="1:13" x14ac:dyDescent="0.3">
      <c r="A130" s="99" t="s">
        <v>34</v>
      </c>
      <c r="B130" s="2">
        <v>0.71975095736856787</v>
      </c>
      <c r="C130" s="3">
        <v>0.88562427189990323</v>
      </c>
      <c r="D130" s="4"/>
      <c r="E130" s="5">
        <v>0.74801653036670213</v>
      </c>
      <c r="F130" s="3">
        <v>0.84602301770065391</v>
      </c>
      <c r="G130" s="4"/>
      <c r="H130" s="5">
        <v>0.7685564808883194</v>
      </c>
      <c r="I130" s="3">
        <v>0.841593098058251</v>
      </c>
      <c r="J130" s="4"/>
      <c r="K130" s="5">
        <v>0.79377675926115865</v>
      </c>
      <c r="L130" s="2">
        <v>0.83550558221389881</v>
      </c>
      <c r="M130" s="2">
        <v>0.78925553161202877</v>
      </c>
    </row>
    <row r="131" spans="1:13" x14ac:dyDescent="0.3">
      <c r="A131" s="100"/>
      <c r="B131" s="7">
        <v>113522</v>
      </c>
      <c r="C131" s="8">
        <v>295725</v>
      </c>
      <c r="D131" s="9"/>
      <c r="E131" s="10">
        <v>300286</v>
      </c>
      <c r="F131" s="8">
        <v>642189</v>
      </c>
      <c r="G131" s="9"/>
      <c r="H131" s="10">
        <v>359915</v>
      </c>
      <c r="I131" s="8">
        <v>582560</v>
      </c>
      <c r="J131" s="9"/>
      <c r="K131" s="10">
        <v>270866</v>
      </c>
      <c r="L131" s="7">
        <v>451488</v>
      </c>
      <c r="M131" s="7">
        <v>220121</v>
      </c>
    </row>
    <row r="132" spans="1:13" x14ac:dyDescent="0.3">
      <c r="A132" s="99" t="s">
        <v>35</v>
      </c>
      <c r="B132" s="2">
        <v>0.78947931717236586</v>
      </c>
      <c r="C132" s="3">
        <v>0.9411975316442367</v>
      </c>
      <c r="D132" s="4"/>
      <c r="E132" s="5">
        <v>0.82945973886740443</v>
      </c>
      <c r="F132" s="3">
        <v>0.92195037994753226</v>
      </c>
      <c r="G132" s="4"/>
      <c r="H132" s="5">
        <v>0.84722263992060387</v>
      </c>
      <c r="I132" s="3">
        <v>0.92273016695873644</v>
      </c>
      <c r="J132" s="4"/>
      <c r="K132" s="5">
        <v>0.8775503252835587</v>
      </c>
      <c r="L132" s="2">
        <v>0.92099521886459634</v>
      </c>
      <c r="M132" s="2">
        <v>0.8844361103669971</v>
      </c>
    </row>
    <row r="133" spans="1:13" x14ac:dyDescent="0.3">
      <c r="A133" s="100"/>
      <c r="B133" s="7">
        <v>14753</v>
      </c>
      <c r="C133" s="8">
        <v>89378</v>
      </c>
      <c r="D133" s="9"/>
      <c r="E133" s="10">
        <v>43326</v>
      </c>
      <c r="F133" s="8">
        <v>176772</v>
      </c>
      <c r="G133" s="9"/>
      <c r="H133" s="10">
        <v>56342</v>
      </c>
      <c r="I133" s="8">
        <v>163756</v>
      </c>
      <c r="J133" s="9"/>
      <c r="K133" s="10">
        <v>51528</v>
      </c>
      <c r="L133" s="7">
        <v>119046</v>
      </c>
      <c r="M133" s="7">
        <v>49524</v>
      </c>
    </row>
    <row r="134" spans="1:13" x14ac:dyDescent="0.3">
      <c r="A134" s="99" t="s">
        <v>36</v>
      </c>
      <c r="B134" s="2">
        <v>0.72415502699261836</v>
      </c>
      <c r="C134" s="3">
        <v>0.87919750604704505</v>
      </c>
      <c r="D134" s="4"/>
      <c r="E134" s="5">
        <v>0.75187423955780819</v>
      </c>
      <c r="F134" s="3">
        <v>0.84321315408694608</v>
      </c>
      <c r="G134" s="4"/>
      <c r="H134" s="5">
        <v>0.76993194612172977</v>
      </c>
      <c r="I134" s="3">
        <v>0.83896893012079166</v>
      </c>
      <c r="J134" s="4"/>
      <c r="K134" s="5">
        <v>0.7910769030069793</v>
      </c>
      <c r="L134" s="2">
        <v>0.83263398059721827</v>
      </c>
      <c r="M134" s="2">
        <v>0.79125206998344011</v>
      </c>
    </row>
    <row r="135" spans="1:13" x14ac:dyDescent="0.3">
      <c r="A135" s="100"/>
      <c r="B135" s="7">
        <v>118311</v>
      </c>
      <c r="C135" s="8">
        <v>266796</v>
      </c>
      <c r="D135" s="9"/>
      <c r="E135" s="10">
        <v>309597</v>
      </c>
      <c r="F135" s="8">
        <v>617130</v>
      </c>
      <c r="G135" s="9"/>
      <c r="H135" s="10">
        <v>365315</v>
      </c>
      <c r="I135" s="8">
        <v>561412</v>
      </c>
      <c r="J135" s="9"/>
      <c r="K135" s="10">
        <v>266816</v>
      </c>
      <c r="L135" s="7">
        <v>440117</v>
      </c>
      <c r="M135" s="7">
        <v>219794</v>
      </c>
    </row>
    <row r="136" spans="1:13" x14ac:dyDescent="0.3">
      <c r="A136" s="99" t="s">
        <v>37</v>
      </c>
      <c r="B136" s="2">
        <v>0.76452083173482699</v>
      </c>
      <c r="C136" s="3">
        <v>0.94324895355790317</v>
      </c>
      <c r="D136" s="4"/>
      <c r="E136" s="5">
        <v>0.81162013839179192</v>
      </c>
      <c r="F136" s="3">
        <v>0.92191425413153305</v>
      </c>
      <c r="G136" s="4"/>
      <c r="H136" s="5">
        <v>0.84445917944467463</v>
      </c>
      <c r="I136" s="3">
        <v>0.92216387130880595</v>
      </c>
      <c r="J136" s="4"/>
      <c r="K136" s="5">
        <v>0.88679335599061793</v>
      </c>
      <c r="L136" s="2">
        <v>0.92460882943048972</v>
      </c>
      <c r="M136" s="2">
        <v>0.87286384647709758</v>
      </c>
    </row>
    <row r="137" spans="1:13" x14ac:dyDescent="0.3">
      <c r="A137" s="100"/>
      <c r="B137" s="7">
        <v>9964</v>
      </c>
      <c r="C137" s="8">
        <v>118307</v>
      </c>
      <c r="D137" s="11"/>
      <c r="E137" s="10">
        <v>34015</v>
      </c>
      <c r="F137" s="8">
        <v>201831</v>
      </c>
      <c r="G137" s="11"/>
      <c r="H137" s="10">
        <v>50942</v>
      </c>
      <c r="I137" s="8">
        <v>184904</v>
      </c>
      <c r="J137" s="11"/>
      <c r="K137" s="10">
        <v>55578</v>
      </c>
      <c r="L137" s="7">
        <v>130417</v>
      </c>
      <c r="M137" s="7">
        <v>49851</v>
      </c>
    </row>
    <row r="139" spans="1:13" x14ac:dyDescent="0.3">
      <c r="A139" s="45" t="s">
        <v>12</v>
      </c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</row>
    <row r="140" spans="1:13" x14ac:dyDescent="0.3">
      <c r="A140" s="12"/>
      <c r="B140" s="13" t="s">
        <v>22</v>
      </c>
      <c r="C140" s="14" t="s">
        <v>23</v>
      </c>
      <c r="D140" s="43"/>
      <c r="E140" s="15" t="s">
        <v>24</v>
      </c>
      <c r="F140" s="14" t="s">
        <v>25</v>
      </c>
      <c r="G140" s="43"/>
      <c r="H140" s="15" t="s">
        <v>26</v>
      </c>
      <c r="I140" s="14" t="s">
        <v>27</v>
      </c>
      <c r="J140" s="43"/>
      <c r="K140" s="15" t="s">
        <v>28</v>
      </c>
      <c r="L140" s="13" t="s">
        <v>29</v>
      </c>
      <c r="M140" s="13" t="s">
        <v>30</v>
      </c>
    </row>
    <row r="141" spans="1:13" x14ac:dyDescent="0.3">
      <c r="A141" s="99" t="s">
        <v>31</v>
      </c>
      <c r="B141" s="2">
        <v>0.24898318604338932</v>
      </c>
      <c r="C141" s="3">
        <v>0.59636060370453348</v>
      </c>
      <c r="D141" s="4"/>
      <c r="E141" s="5">
        <v>0.2916844808668016</v>
      </c>
      <c r="F141" s="3">
        <v>0.50362273211245356</v>
      </c>
      <c r="G141" s="4"/>
      <c r="H141" s="5">
        <v>0.31802775802318622</v>
      </c>
      <c r="I141" s="3">
        <v>0.49496399229130744</v>
      </c>
      <c r="J141" s="4"/>
      <c r="K141" s="5">
        <v>0.37758779711744683</v>
      </c>
      <c r="L141" s="2">
        <v>0.474947541773591</v>
      </c>
      <c r="M141" s="2">
        <v>0.40458910946883703</v>
      </c>
    </row>
    <row r="142" spans="1:13" x14ac:dyDescent="0.3">
      <c r="A142" s="100"/>
      <c r="B142" s="7">
        <v>63053</v>
      </c>
      <c r="C142" s="8">
        <v>316779</v>
      </c>
      <c r="D142" s="9"/>
      <c r="E142" s="10">
        <v>195120</v>
      </c>
      <c r="F142" s="8">
        <v>615847</v>
      </c>
      <c r="G142" s="9"/>
      <c r="H142" s="10">
        <v>225385</v>
      </c>
      <c r="I142" s="8">
        <v>585582</v>
      </c>
      <c r="J142" s="9"/>
      <c r="K142" s="10">
        <v>203874</v>
      </c>
      <c r="L142" s="7">
        <v>406064</v>
      </c>
      <c r="M142" s="7">
        <v>201029</v>
      </c>
    </row>
    <row r="143" spans="1:13" x14ac:dyDescent="0.3">
      <c r="A143" s="99" t="s">
        <v>32</v>
      </c>
      <c r="B143" s="2">
        <v>0.16417497887396246</v>
      </c>
      <c r="C143" s="3">
        <v>0.51007837164689651</v>
      </c>
      <c r="D143" s="4"/>
      <c r="E143" s="5">
        <v>0.20074685099754538</v>
      </c>
      <c r="F143" s="3">
        <v>0.41149657271551165</v>
      </c>
      <c r="G143" s="4"/>
      <c r="H143" s="5">
        <v>0.22902203483581113</v>
      </c>
      <c r="I143" s="3">
        <v>0.40164063292423169</v>
      </c>
      <c r="J143" s="4"/>
      <c r="K143" s="5">
        <v>0.29613770469942846</v>
      </c>
      <c r="L143" s="2">
        <v>0.38893008610868735</v>
      </c>
      <c r="M143" s="2">
        <v>0.29195044196493264</v>
      </c>
    </row>
    <row r="144" spans="1:13" x14ac:dyDescent="0.3">
      <c r="A144" s="100"/>
      <c r="B144" s="7">
        <v>41576</v>
      </c>
      <c r="C144" s="8">
        <v>270947</v>
      </c>
      <c r="D144" s="9"/>
      <c r="E144" s="10">
        <v>134288</v>
      </c>
      <c r="F144" s="8">
        <v>503192</v>
      </c>
      <c r="G144" s="9"/>
      <c r="H144" s="10">
        <v>162307</v>
      </c>
      <c r="I144" s="8">
        <v>475173</v>
      </c>
      <c r="J144" s="9"/>
      <c r="K144" s="10">
        <v>159896</v>
      </c>
      <c r="L144" s="7">
        <v>332522</v>
      </c>
      <c r="M144" s="7">
        <v>145062</v>
      </c>
    </row>
    <row r="145" spans="1:13" x14ac:dyDescent="0.3">
      <c r="A145" s="99" t="s">
        <v>33</v>
      </c>
      <c r="B145" s="2">
        <v>8.4389635210589078E-2</v>
      </c>
      <c r="C145" s="3">
        <v>8.62370502290154E-2</v>
      </c>
      <c r="D145" s="4"/>
      <c r="E145" s="5">
        <v>9.0659578857359827E-2</v>
      </c>
      <c r="F145" s="3">
        <v>9.2072186412873708E-2</v>
      </c>
      <c r="G145" s="4"/>
      <c r="H145" s="5">
        <v>8.8739036201700025E-2</v>
      </c>
      <c r="I145" s="3">
        <v>9.327010853027691E-2</v>
      </c>
      <c r="J145" s="4"/>
      <c r="K145" s="5">
        <v>8.1300075193818544E-2</v>
      </c>
      <c r="L145" s="2">
        <v>8.585019755171551E-2</v>
      </c>
      <c r="M145" s="2">
        <v>0.1125823149624048</v>
      </c>
    </row>
    <row r="146" spans="1:13" x14ac:dyDescent="0.3">
      <c r="A146" s="100"/>
      <c r="B146" s="7">
        <v>21371</v>
      </c>
      <c r="C146" s="8">
        <v>45808</v>
      </c>
      <c r="D146" s="9"/>
      <c r="E146" s="10">
        <v>60646</v>
      </c>
      <c r="F146" s="8">
        <v>112589</v>
      </c>
      <c r="G146" s="9"/>
      <c r="H146" s="10">
        <v>62889</v>
      </c>
      <c r="I146" s="8">
        <v>110346</v>
      </c>
      <c r="J146" s="9"/>
      <c r="K146" s="10">
        <v>43897</v>
      </c>
      <c r="L146" s="7">
        <v>73399</v>
      </c>
      <c r="M146" s="7">
        <v>55939</v>
      </c>
    </row>
    <row r="147" spans="1:13" x14ac:dyDescent="0.3">
      <c r="A147" s="99" t="s">
        <v>34</v>
      </c>
      <c r="B147" s="2">
        <v>0.20981116876347525</v>
      </c>
      <c r="C147" s="3">
        <v>0.44122691255621843</v>
      </c>
      <c r="D147" s="4"/>
      <c r="E147" s="5">
        <v>0.24258455890047267</v>
      </c>
      <c r="F147" s="3">
        <v>0.37891079247060516</v>
      </c>
      <c r="G147" s="4"/>
      <c r="H147" s="5">
        <v>0.26244539266483796</v>
      </c>
      <c r="I147" s="3">
        <v>0.37159448219900598</v>
      </c>
      <c r="J147" s="4"/>
      <c r="K147" s="5">
        <v>0.30143090502983677</v>
      </c>
      <c r="L147" s="2">
        <v>0.35547261528528618</v>
      </c>
      <c r="M147" s="2">
        <v>0.31989928995797712</v>
      </c>
    </row>
    <row r="148" spans="1:13" x14ac:dyDescent="0.3">
      <c r="A148" s="100"/>
      <c r="B148" s="7">
        <v>53133</v>
      </c>
      <c r="C148" s="8">
        <v>234374</v>
      </c>
      <c r="D148" s="9"/>
      <c r="E148" s="10">
        <v>162275</v>
      </c>
      <c r="F148" s="8">
        <v>463345</v>
      </c>
      <c r="G148" s="9"/>
      <c r="H148" s="10">
        <v>185994</v>
      </c>
      <c r="I148" s="8">
        <v>439626</v>
      </c>
      <c r="J148" s="9"/>
      <c r="K148" s="10">
        <v>162754</v>
      </c>
      <c r="L148" s="7">
        <v>303917</v>
      </c>
      <c r="M148" s="7">
        <v>158949</v>
      </c>
    </row>
    <row r="149" spans="1:13" x14ac:dyDescent="0.3">
      <c r="A149" s="99" t="s">
        <v>35</v>
      </c>
      <c r="B149" s="2">
        <v>3.9172017279914075E-2</v>
      </c>
      <c r="C149" s="3">
        <v>0.15513369114831499</v>
      </c>
      <c r="D149" s="4"/>
      <c r="E149" s="5">
        <v>4.9099921966328917E-2</v>
      </c>
      <c r="F149" s="3">
        <v>0.12471193964184836</v>
      </c>
      <c r="G149" s="4"/>
      <c r="H149" s="5">
        <v>5.558236535834829E-2</v>
      </c>
      <c r="I149" s="3">
        <v>0.12336951009230145</v>
      </c>
      <c r="J149" s="4"/>
      <c r="K149" s="5">
        <v>7.6156892087610062E-2</v>
      </c>
      <c r="L149" s="2">
        <v>0.11947492648830479</v>
      </c>
      <c r="M149" s="2">
        <v>8.4689819510859937E-2</v>
      </c>
    </row>
    <row r="150" spans="1:13" x14ac:dyDescent="0.3">
      <c r="A150" s="100"/>
      <c r="B150" s="7">
        <v>9920</v>
      </c>
      <c r="C150" s="8">
        <v>82405</v>
      </c>
      <c r="D150" s="9"/>
      <c r="E150" s="10">
        <v>32845</v>
      </c>
      <c r="F150" s="8">
        <v>152502</v>
      </c>
      <c r="G150" s="9"/>
      <c r="H150" s="10">
        <v>39391</v>
      </c>
      <c r="I150" s="8">
        <v>145956</v>
      </c>
      <c r="J150" s="9"/>
      <c r="K150" s="10">
        <v>41120</v>
      </c>
      <c r="L150" s="7">
        <v>102147</v>
      </c>
      <c r="M150" s="7">
        <v>42080</v>
      </c>
    </row>
    <row r="151" spans="1:13" x14ac:dyDescent="0.3">
      <c r="A151" s="99" t="s">
        <v>36</v>
      </c>
      <c r="B151" s="2">
        <v>0.22440985302595937</v>
      </c>
      <c r="C151" s="3">
        <v>0.40455997605363081</v>
      </c>
      <c r="D151" s="4"/>
      <c r="E151" s="5">
        <v>0.25480385444477999</v>
      </c>
      <c r="F151" s="3">
        <v>0.36679385754730404</v>
      </c>
      <c r="G151" s="4"/>
      <c r="H151" s="5">
        <v>0.2703712169957217</v>
      </c>
      <c r="I151" s="3">
        <v>0.36123170030767149</v>
      </c>
      <c r="J151" s="4"/>
      <c r="K151" s="5">
        <v>0.2991195285384618</v>
      </c>
      <c r="L151" s="2">
        <v>0.34828285569250705</v>
      </c>
      <c r="M151" s="2">
        <v>0.3214127582153955</v>
      </c>
    </row>
    <row r="152" spans="1:13" x14ac:dyDescent="0.3">
      <c r="A152" s="100"/>
      <c r="B152" s="7">
        <v>56830</v>
      </c>
      <c r="C152" s="8">
        <v>214897</v>
      </c>
      <c r="D152" s="9"/>
      <c r="E152" s="10">
        <v>170449</v>
      </c>
      <c r="F152" s="8">
        <v>448528</v>
      </c>
      <c r="G152" s="9"/>
      <c r="H152" s="10">
        <v>191611</v>
      </c>
      <c r="I152" s="8">
        <v>427366</v>
      </c>
      <c r="J152" s="9"/>
      <c r="K152" s="10">
        <v>161506</v>
      </c>
      <c r="L152" s="7">
        <v>297770</v>
      </c>
      <c r="M152" s="7">
        <v>159701</v>
      </c>
    </row>
    <row r="153" spans="1:13" x14ac:dyDescent="0.3">
      <c r="A153" s="99" t="s">
        <v>37</v>
      </c>
      <c r="B153" s="2">
        <v>2.4573333017429966E-2</v>
      </c>
      <c r="C153" s="3">
        <v>0.19180062765090261</v>
      </c>
      <c r="D153" s="4"/>
      <c r="E153" s="5">
        <v>3.688062642202164E-2</v>
      </c>
      <c r="F153" s="3">
        <v>0.13682887456514947</v>
      </c>
      <c r="G153" s="4"/>
      <c r="H153" s="5">
        <v>4.7656541027464527E-2</v>
      </c>
      <c r="I153" s="3">
        <v>0.13373229198363593</v>
      </c>
      <c r="J153" s="4"/>
      <c r="K153" s="5">
        <v>7.8468268578984993E-2</v>
      </c>
      <c r="L153" s="2">
        <v>0.12666468608108392</v>
      </c>
      <c r="M153" s="2">
        <v>8.3176351253441527E-2</v>
      </c>
    </row>
    <row r="154" spans="1:13" x14ac:dyDescent="0.3">
      <c r="A154" s="100"/>
      <c r="B154" s="7">
        <v>6223</v>
      </c>
      <c r="C154" s="8">
        <v>101882</v>
      </c>
      <c r="D154" s="11"/>
      <c r="E154" s="10">
        <v>24671</v>
      </c>
      <c r="F154" s="8">
        <v>167319</v>
      </c>
      <c r="G154" s="11"/>
      <c r="H154" s="10">
        <v>33774</v>
      </c>
      <c r="I154" s="8">
        <v>158216</v>
      </c>
      <c r="J154" s="11"/>
      <c r="K154" s="10">
        <v>42368</v>
      </c>
      <c r="L154" s="7">
        <v>108294</v>
      </c>
      <c r="M154" s="7">
        <v>41328</v>
      </c>
    </row>
    <row r="156" spans="1:13" x14ac:dyDescent="0.3">
      <c r="A156" s="45" t="s">
        <v>13</v>
      </c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</row>
    <row r="157" spans="1:13" x14ac:dyDescent="0.3">
      <c r="A157" s="12"/>
      <c r="B157" s="13" t="s">
        <v>22</v>
      </c>
      <c r="C157" s="14" t="s">
        <v>23</v>
      </c>
      <c r="D157" s="43"/>
      <c r="E157" s="15" t="s">
        <v>24</v>
      </c>
      <c r="F157" s="14" t="s">
        <v>25</v>
      </c>
      <c r="G157" s="43"/>
      <c r="H157" s="15" t="s">
        <v>26</v>
      </c>
      <c r="I157" s="14" t="s">
        <v>27</v>
      </c>
      <c r="J157" s="43"/>
      <c r="K157" s="15" t="s">
        <v>28</v>
      </c>
      <c r="L157" s="13" t="s">
        <v>29</v>
      </c>
      <c r="M157" s="13" t="s">
        <v>30</v>
      </c>
    </row>
    <row r="158" spans="1:13" x14ac:dyDescent="0.3">
      <c r="A158" s="99" t="s">
        <v>31</v>
      </c>
      <c r="B158" s="2">
        <v>0.24849487237876083</v>
      </c>
      <c r="C158" s="3">
        <v>0.59610611940718239</v>
      </c>
      <c r="D158" s="4"/>
      <c r="E158" s="5">
        <v>0.29326500389939275</v>
      </c>
      <c r="F158" s="3">
        <v>0.50586779945468641</v>
      </c>
      <c r="G158" s="4"/>
      <c r="H158" s="5">
        <v>0.31887689439456879</v>
      </c>
      <c r="I158" s="3">
        <v>0.49418456096338848</v>
      </c>
      <c r="J158" s="4"/>
      <c r="K158" s="5">
        <v>0.37968697667261092</v>
      </c>
      <c r="L158" s="2">
        <v>0.47516426551221846</v>
      </c>
      <c r="M158" s="2">
        <v>0.40633902060000765</v>
      </c>
    </row>
    <row r="159" spans="1:13" x14ac:dyDescent="0.3">
      <c r="A159" s="100"/>
      <c r="B159" s="7">
        <v>62201</v>
      </c>
      <c r="C159" s="8">
        <v>339151</v>
      </c>
      <c r="D159" s="9"/>
      <c r="E159" s="10">
        <v>200805</v>
      </c>
      <c r="F159" s="8">
        <v>619123</v>
      </c>
      <c r="G159" s="9"/>
      <c r="H159" s="10">
        <v>224232</v>
      </c>
      <c r="I159" s="8">
        <v>595696</v>
      </c>
      <c r="J159" s="9"/>
      <c r="K159" s="10">
        <v>209722</v>
      </c>
      <c r="L159" s="7">
        <v>408082</v>
      </c>
      <c r="M159" s="7">
        <v>202124</v>
      </c>
    </row>
    <row r="160" spans="1:13" x14ac:dyDescent="0.3">
      <c r="A160" s="99" t="s">
        <v>32</v>
      </c>
      <c r="B160" s="2">
        <v>0.16210633971339652</v>
      </c>
      <c r="C160" s="3">
        <v>0.51219627942293089</v>
      </c>
      <c r="D160" s="4"/>
      <c r="E160" s="5">
        <v>0.2007632294566262</v>
      </c>
      <c r="F160" s="3">
        <v>0.41238010496101341</v>
      </c>
      <c r="G160" s="4"/>
      <c r="H160" s="5">
        <v>0.22869397164078709</v>
      </c>
      <c r="I160" s="3">
        <v>0.39932902609232362</v>
      </c>
      <c r="J160" s="4"/>
      <c r="K160" s="5">
        <v>0.29686343022150607</v>
      </c>
      <c r="L160" s="2">
        <v>0.38822551328969995</v>
      </c>
      <c r="M160" s="2">
        <v>0.29105979369837182</v>
      </c>
    </row>
    <row r="161" spans="1:13" x14ac:dyDescent="0.3">
      <c r="A161" s="100"/>
      <c r="B161" s="7">
        <v>40577</v>
      </c>
      <c r="C161" s="8">
        <v>291411</v>
      </c>
      <c r="D161" s="9"/>
      <c r="E161" s="10">
        <v>137467</v>
      </c>
      <c r="F161" s="8">
        <v>504705</v>
      </c>
      <c r="G161" s="9"/>
      <c r="H161" s="10">
        <v>160816</v>
      </c>
      <c r="I161" s="8">
        <v>481356</v>
      </c>
      <c r="J161" s="9"/>
      <c r="K161" s="10">
        <v>163974</v>
      </c>
      <c r="L161" s="7">
        <v>333417</v>
      </c>
      <c r="M161" s="7">
        <v>144781</v>
      </c>
    </row>
    <row r="162" spans="1:13" x14ac:dyDescent="0.3">
      <c r="A162" s="99" t="s">
        <v>33</v>
      </c>
      <c r="B162" s="2">
        <v>8.5993024677301438E-2</v>
      </c>
      <c r="C162" s="3">
        <v>8.3853595432942435E-2</v>
      </c>
      <c r="D162" s="4"/>
      <c r="E162" s="5">
        <v>9.2233052246021019E-2</v>
      </c>
      <c r="F162" s="3">
        <v>9.3406804408591337E-2</v>
      </c>
      <c r="G162" s="4"/>
      <c r="H162" s="5">
        <v>8.9904194154378669E-2</v>
      </c>
      <c r="I162" s="3">
        <v>9.4783360378028425E-2</v>
      </c>
      <c r="J162" s="4"/>
      <c r="K162" s="5">
        <v>8.2678712060178683E-2</v>
      </c>
      <c r="L162" s="2">
        <v>8.6736149357900291E-2</v>
      </c>
      <c r="M162" s="2">
        <v>0.11522092688977478</v>
      </c>
    </row>
    <row r="163" spans="1:13" x14ac:dyDescent="0.3">
      <c r="A163" s="100"/>
      <c r="B163" s="7">
        <v>21525</v>
      </c>
      <c r="C163" s="8">
        <v>47708</v>
      </c>
      <c r="D163" s="9"/>
      <c r="E163" s="10">
        <v>63154</v>
      </c>
      <c r="F163" s="8">
        <v>114319</v>
      </c>
      <c r="G163" s="9"/>
      <c r="H163" s="10">
        <v>63220</v>
      </c>
      <c r="I163" s="8">
        <v>114253</v>
      </c>
      <c r="J163" s="9"/>
      <c r="K163" s="10">
        <v>45668</v>
      </c>
      <c r="L163" s="7">
        <v>74491</v>
      </c>
      <c r="M163" s="7">
        <v>57314</v>
      </c>
    </row>
    <row r="164" spans="1:13" x14ac:dyDescent="0.3">
      <c r="A164" s="99" t="s">
        <v>34</v>
      </c>
      <c r="B164" s="2">
        <v>0.20869638170116375</v>
      </c>
      <c r="C164" s="3">
        <v>0.43298813239967376</v>
      </c>
      <c r="D164" s="4"/>
      <c r="E164" s="5">
        <v>0.24213038284150357</v>
      </c>
      <c r="F164" s="3">
        <v>0.38174809193362436</v>
      </c>
      <c r="G164" s="4"/>
      <c r="H164" s="5">
        <v>0.26296763477452134</v>
      </c>
      <c r="I164" s="3">
        <v>0.37173182281244921</v>
      </c>
      <c r="J164" s="4"/>
      <c r="K164" s="5">
        <v>0.30329950846828579</v>
      </c>
      <c r="L164" s="2">
        <v>0.35597439751846421</v>
      </c>
      <c r="M164" s="2">
        <v>0.32117074465197909</v>
      </c>
    </row>
    <row r="165" spans="1:13" x14ac:dyDescent="0.3">
      <c r="A165" s="100"/>
      <c r="B165" s="7">
        <v>52239</v>
      </c>
      <c r="C165" s="8">
        <v>246346</v>
      </c>
      <c r="D165" s="9"/>
      <c r="E165" s="10">
        <v>165792</v>
      </c>
      <c r="F165" s="8">
        <v>467215</v>
      </c>
      <c r="G165" s="9"/>
      <c r="H165" s="10">
        <v>184917</v>
      </c>
      <c r="I165" s="8">
        <v>448090</v>
      </c>
      <c r="J165" s="9"/>
      <c r="K165" s="10">
        <v>167529</v>
      </c>
      <c r="L165" s="7">
        <v>305719</v>
      </c>
      <c r="M165" s="7">
        <v>159759</v>
      </c>
    </row>
    <row r="166" spans="1:13" x14ac:dyDescent="0.3">
      <c r="A166" s="99" t="s">
        <v>35</v>
      </c>
      <c r="B166" s="2">
        <v>3.9798490677597068E-2</v>
      </c>
      <c r="C166" s="3">
        <v>0.16311798700750865</v>
      </c>
      <c r="D166" s="4"/>
      <c r="E166" s="5">
        <v>5.1134621057889185E-2</v>
      </c>
      <c r="F166" s="3">
        <v>0.12411970752106206</v>
      </c>
      <c r="G166" s="4"/>
      <c r="H166" s="5">
        <v>5.5909259620047412E-2</v>
      </c>
      <c r="I166" s="3">
        <v>0.12245273815093927</v>
      </c>
      <c r="J166" s="4"/>
      <c r="K166" s="5">
        <v>7.6387468204325112E-2</v>
      </c>
      <c r="L166" s="2">
        <v>0.11918986799375424</v>
      </c>
      <c r="M166" s="2">
        <v>8.516827594802856E-2</v>
      </c>
    </row>
    <row r="167" spans="1:13" x14ac:dyDescent="0.3">
      <c r="A167" s="100"/>
      <c r="B167" s="7">
        <v>9962</v>
      </c>
      <c r="C167" s="8">
        <v>92805</v>
      </c>
      <c r="D167" s="9"/>
      <c r="E167" s="10">
        <v>35013</v>
      </c>
      <c r="F167" s="8">
        <v>151908</v>
      </c>
      <c r="G167" s="9"/>
      <c r="H167" s="10">
        <v>39315</v>
      </c>
      <c r="I167" s="8">
        <v>147606</v>
      </c>
      <c r="J167" s="9"/>
      <c r="K167" s="10">
        <v>42193</v>
      </c>
      <c r="L167" s="7">
        <v>102363</v>
      </c>
      <c r="M167" s="7">
        <v>42365</v>
      </c>
    </row>
    <row r="168" spans="1:13" x14ac:dyDescent="0.3">
      <c r="A168" s="99" t="s">
        <v>36</v>
      </c>
      <c r="B168" s="2">
        <v>0.22106100011585589</v>
      </c>
      <c r="C168" s="3">
        <v>0.40301505947861299</v>
      </c>
      <c r="D168" s="4"/>
      <c r="E168" s="5">
        <v>0.25478223278936563</v>
      </c>
      <c r="F168" s="3">
        <v>0.36989074936084576</v>
      </c>
      <c r="G168" s="4"/>
      <c r="H168" s="5">
        <v>0.2709782378379762</v>
      </c>
      <c r="I168" s="3">
        <v>0.36220644891539161</v>
      </c>
      <c r="J168" s="4"/>
      <c r="K168" s="5">
        <v>0.30128087914475293</v>
      </c>
      <c r="L168" s="2">
        <v>0.34911500972843068</v>
      </c>
      <c r="M168" s="2">
        <v>0.32349671409071079</v>
      </c>
    </row>
    <row r="169" spans="1:13" x14ac:dyDescent="0.3">
      <c r="A169" s="100"/>
      <c r="B169" s="7">
        <v>55334</v>
      </c>
      <c r="C169" s="8">
        <v>229293</v>
      </c>
      <c r="D169" s="9"/>
      <c r="E169" s="10">
        <v>174455</v>
      </c>
      <c r="F169" s="8">
        <v>452703</v>
      </c>
      <c r="G169" s="9"/>
      <c r="H169" s="10">
        <v>190550</v>
      </c>
      <c r="I169" s="8">
        <v>436608</v>
      </c>
      <c r="J169" s="9"/>
      <c r="K169" s="10">
        <v>166414</v>
      </c>
      <c r="L169" s="7">
        <v>299828</v>
      </c>
      <c r="M169" s="7">
        <v>160916</v>
      </c>
    </row>
    <row r="170" spans="1:13" x14ac:dyDescent="0.3">
      <c r="A170" s="99" t="s">
        <v>37</v>
      </c>
      <c r="B170" s="2">
        <v>2.7433872262904946E-2</v>
      </c>
      <c r="C170" s="3">
        <v>0.19309105992856943</v>
      </c>
      <c r="D170" s="4"/>
      <c r="E170" s="5">
        <v>3.8482771110027132E-2</v>
      </c>
      <c r="F170" s="3">
        <v>0.13597705009384067</v>
      </c>
      <c r="G170" s="4"/>
      <c r="H170" s="5">
        <v>4.7898656556592568E-2</v>
      </c>
      <c r="I170" s="3">
        <v>0.13197811204799687</v>
      </c>
      <c r="J170" s="4"/>
      <c r="K170" s="5">
        <v>7.8406097527857987E-2</v>
      </c>
      <c r="L170" s="2">
        <v>0.12604925578378781</v>
      </c>
      <c r="M170" s="2">
        <v>8.2842306509296845E-2</v>
      </c>
    </row>
    <row r="171" spans="1:13" x14ac:dyDescent="0.3">
      <c r="A171" s="100"/>
      <c r="B171" s="7">
        <v>6867</v>
      </c>
      <c r="C171" s="8">
        <v>109858</v>
      </c>
      <c r="D171" s="11"/>
      <c r="E171" s="10">
        <v>26350</v>
      </c>
      <c r="F171" s="8">
        <v>166420</v>
      </c>
      <c r="G171" s="11"/>
      <c r="H171" s="10">
        <v>33682</v>
      </c>
      <c r="I171" s="8">
        <v>159088</v>
      </c>
      <c r="J171" s="11"/>
      <c r="K171" s="10">
        <v>43308</v>
      </c>
      <c r="L171" s="7">
        <v>108254</v>
      </c>
      <c r="M171" s="7">
        <v>41208</v>
      </c>
    </row>
    <row r="173" spans="1:13" x14ac:dyDescent="0.3">
      <c r="A173" s="45" t="s">
        <v>14</v>
      </c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</row>
    <row r="174" spans="1:13" x14ac:dyDescent="0.3">
      <c r="A174" s="12"/>
      <c r="B174" s="13" t="s">
        <v>22</v>
      </c>
      <c r="C174" s="14" t="s">
        <v>23</v>
      </c>
      <c r="D174" s="43"/>
      <c r="E174" s="15" t="s">
        <v>24</v>
      </c>
      <c r="F174" s="14" t="s">
        <v>25</v>
      </c>
      <c r="G174" s="43"/>
      <c r="H174" s="15" t="s">
        <v>26</v>
      </c>
      <c r="I174" s="14" t="s">
        <v>27</v>
      </c>
      <c r="J174" s="43"/>
      <c r="K174" s="15" t="s">
        <v>28</v>
      </c>
      <c r="L174" s="13" t="s">
        <v>29</v>
      </c>
      <c r="M174" s="13" t="s">
        <v>30</v>
      </c>
    </row>
    <row r="175" spans="1:13" x14ac:dyDescent="0.3">
      <c r="A175" s="101" t="s">
        <v>38</v>
      </c>
      <c r="B175" s="2">
        <v>0.24898318604338932</v>
      </c>
      <c r="C175" s="3">
        <v>0.59636060370453348</v>
      </c>
      <c r="D175" s="4"/>
      <c r="E175" s="5">
        <v>0.2916844808668016</v>
      </c>
      <c r="F175" s="3">
        <v>0.50362273211245356</v>
      </c>
      <c r="G175" s="4"/>
      <c r="H175" s="5">
        <v>0.31802775802318622</v>
      </c>
      <c r="I175" s="3">
        <v>0.49496399229130744</v>
      </c>
      <c r="J175" s="4"/>
      <c r="K175" s="5">
        <v>0.37758779711744683</v>
      </c>
      <c r="L175" s="2">
        <v>0.474947541773591</v>
      </c>
      <c r="M175" s="2">
        <v>0.40458910946883703</v>
      </c>
    </row>
    <row r="176" spans="1:13" x14ac:dyDescent="0.3">
      <c r="A176" s="102"/>
      <c r="B176" s="7">
        <v>253242</v>
      </c>
      <c r="C176" s="8">
        <v>531187</v>
      </c>
      <c r="D176" s="9"/>
      <c r="E176" s="10">
        <v>668942</v>
      </c>
      <c r="F176" s="8">
        <v>1222834</v>
      </c>
      <c r="G176" s="9"/>
      <c r="H176" s="10">
        <v>708696</v>
      </c>
      <c r="I176" s="8">
        <v>1183080</v>
      </c>
      <c r="J176" s="9"/>
      <c r="K176" s="10">
        <v>539938</v>
      </c>
      <c r="L176" s="7">
        <v>854966</v>
      </c>
      <c r="M176" s="7">
        <v>496872</v>
      </c>
    </row>
    <row r="177" spans="1:13" x14ac:dyDescent="0.3">
      <c r="A177" s="101" t="s">
        <v>39</v>
      </c>
      <c r="B177" s="2">
        <v>7.6586822091122331E-2</v>
      </c>
      <c r="C177" s="3">
        <v>0.22451603672529635</v>
      </c>
      <c r="D177" s="4"/>
      <c r="E177" s="5">
        <v>9.1800185965300429E-2</v>
      </c>
      <c r="F177" s="3">
        <v>0.17918867156130758</v>
      </c>
      <c r="G177" s="4"/>
      <c r="H177" s="5">
        <v>0.10772884283246978</v>
      </c>
      <c r="I177" s="3">
        <v>0.17258342631098489</v>
      </c>
      <c r="J177" s="4"/>
      <c r="K177" s="5">
        <v>0.14202927002729943</v>
      </c>
      <c r="L177" s="2">
        <v>0.16993658227344713</v>
      </c>
      <c r="M177" s="2">
        <v>0.11783718945724451</v>
      </c>
    </row>
    <row r="178" spans="1:13" x14ac:dyDescent="0.3">
      <c r="A178" s="102"/>
      <c r="B178" s="7">
        <v>19395</v>
      </c>
      <c r="C178" s="8">
        <v>119260</v>
      </c>
      <c r="D178" s="9"/>
      <c r="E178" s="10">
        <v>61409</v>
      </c>
      <c r="F178" s="8">
        <v>219118</v>
      </c>
      <c r="G178" s="9"/>
      <c r="H178" s="10">
        <v>76347</v>
      </c>
      <c r="I178" s="8">
        <v>204180</v>
      </c>
      <c r="J178" s="9"/>
      <c r="K178" s="10">
        <v>76687</v>
      </c>
      <c r="L178" s="7">
        <v>145290</v>
      </c>
      <c r="M178" s="7">
        <v>58550</v>
      </c>
    </row>
    <row r="179" spans="1:13" x14ac:dyDescent="0.3">
      <c r="A179" s="101" t="s">
        <v>40</v>
      </c>
      <c r="B179" s="2">
        <v>0.16405256631996273</v>
      </c>
      <c r="C179" s="3">
        <v>0.52311332920421627</v>
      </c>
      <c r="D179" s="4"/>
      <c r="E179" s="5">
        <v>0.20291744276783338</v>
      </c>
      <c r="F179" s="3">
        <v>0.4199359847698052</v>
      </c>
      <c r="G179" s="4"/>
      <c r="H179" s="5">
        <v>0.23235209455111924</v>
      </c>
      <c r="I179" s="3">
        <v>0.40959613889170637</v>
      </c>
      <c r="J179" s="4"/>
      <c r="K179" s="5">
        <v>0.30284032611151651</v>
      </c>
      <c r="L179" s="2">
        <v>0.39469873655794502</v>
      </c>
      <c r="M179" s="2">
        <v>0.29843299682815694</v>
      </c>
    </row>
    <row r="180" spans="1:13" x14ac:dyDescent="0.3">
      <c r="A180" s="102"/>
      <c r="B180" s="7">
        <v>41545</v>
      </c>
      <c r="C180" s="8">
        <v>277871</v>
      </c>
      <c r="D180" s="9"/>
      <c r="E180" s="10">
        <v>135740</v>
      </c>
      <c r="F180" s="8">
        <v>513512</v>
      </c>
      <c r="G180" s="9"/>
      <c r="H180" s="10">
        <v>164667</v>
      </c>
      <c r="I180" s="8">
        <v>484585</v>
      </c>
      <c r="J180" s="9"/>
      <c r="K180" s="10">
        <v>163515</v>
      </c>
      <c r="L180" s="7">
        <v>337454</v>
      </c>
      <c r="M180" s="7">
        <v>148283</v>
      </c>
    </row>
    <row r="181" spans="1:13" x14ac:dyDescent="0.3">
      <c r="A181" s="101" t="s">
        <v>41</v>
      </c>
      <c r="B181" s="2">
        <v>6.5822414923274966E-2</v>
      </c>
      <c r="C181" s="3">
        <v>0.21487348146697868</v>
      </c>
      <c r="D181" s="4"/>
      <c r="E181" s="5">
        <v>8.1162492413393086E-2</v>
      </c>
      <c r="F181" s="3">
        <v>0.17003125526441037</v>
      </c>
      <c r="G181" s="4"/>
      <c r="H181" s="5">
        <v>9.6303633716007989E-2</v>
      </c>
      <c r="I181" s="3">
        <v>0.16394749298441355</v>
      </c>
      <c r="J181" s="4"/>
      <c r="K181" s="5">
        <v>0.13115950349854982</v>
      </c>
      <c r="L181" s="2">
        <v>0.1602040315053464</v>
      </c>
      <c r="M181" s="2">
        <v>0.1095372651306574</v>
      </c>
    </row>
    <row r="182" spans="1:13" x14ac:dyDescent="0.3">
      <c r="A182" s="102"/>
      <c r="B182" s="7">
        <v>16669</v>
      </c>
      <c r="C182" s="8">
        <v>114138</v>
      </c>
      <c r="D182" s="11"/>
      <c r="E182" s="10">
        <v>54293</v>
      </c>
      <c r="F182" s="8">
        <v>207920</v>
      </c>
      <c r="G182" s="11"/>
      <c r="H182" s="10">
        <v>68250</v>
      </c>
      <c r="I182" s="8">
        <v>193963</v>
      </c>
      <c r="J182" s="11"/>
      <c r="K182" s="10">
        <v>70818</v>
      </c>
      <c r="L182" s="7">
        <v>136969</v>
      </c>
      <c r="M182" s="7">
        <v>54426</v>
      </c>
    </row>
    <row r="184" spans="1:13" x14ac:dyDescent="0.3">
      <c r="A184" s="45" t="s">
        <v>15</v>
      </c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</row>
    <row r="185" spans="1:13" x14ac:dyDescent="0.3">
      <c r="A185" s="12"/>
      <c r="B185" s="13" t="s">
        <v>22</v>
      </c>
      <c r="C185" s="14" t="s">
        <v>23</v>
      </c>
      <c r="D185" s="43"/>
      <c r="E185" s="15" t="s">
        <v>24</v>
      </c>
      <c r="F185" s="14" t="s">
        <v>25</v>
      </c>
      <c r="G185" s="43"/>
      <c r="H185" s="15" t="s">
        <v>26</v>
      </c>
      <c r="I185" s="14" t="s">
        <v>27</v>
      </c>
      <c r="J185" s="43"/>
      <c r="K185" s="15" t="s">
        <v>28</v>
      </c>
      <c r="L185" s="13" t="s">
        <v>29</v>
      </c>
      <c r="M185" s="13" t="s">
        <v>30</v>
      </c>
    </row>
    <row r="186" spans="1:13" x14ac:dyDescent="0.3">
      <c r="A186" s="101" t="s">
        <v>42</v>
      </c>
      <c r="B186" s="2">
        <v>0.28682650167568963</v>
      </c>
      <c r="C186" s="3">
        <v>0.21405332886131143</v>
      </c>
      <c r="D186" s="4"/>
      <c r="E186" s="5">
        <v>0.25538601833607449</v>
      </c>
      <c r="F186" s="3">
        <v>0.21194516196752436</v>
      </c>
      <c r="G186" s="4"/>
      <c r="H186" s="5">
        <v>0.25952558712195634</v>
      </c>
      <c r="I186" s="3">
        <v>0.20721912038397491</v>
      </c>
      <c r="J186" s="4"/>
      <c r="K186" s="5">
        <v>0.24584349368211039</v>
      </c>
      <c r="L186" s="2">
        <v>0.22212127469199533</v>
      </c>
      <c r="M186" s="2">
        <v>0.18785653287788215</v>
      </c>
    </row>
    <row r="187" spans="1:13" x14ac:dyDescent="0.3">
      <c r="A187" s="102"/>
      <c r="B187" s="7">
        <v>5563</v>
      </c>
      <c r="C187" s="8">
        <v>25528</v>
      </c>
      <c r="D187" s="9"/>
      <c r="E187" s="10">
        <v>15683</v>
      </c>
      <c r="F187" s="8">
        <v>46441</v>
      </c>
      <c r="G187" s="9"/>
      <c r="H187" s="10">
        <v>19814</v>
      </c>
      <c r="I187" s="8">
        <v>42310</v>
      </c>
      <c r="J187" s="9"/>
      <c r="K187" s="10">
        <v>18853</v>
      </c>
      <c r="L187" s="7">
        <v>32272</v>
      </c>
      <c r="M187" s="7">
        <v>10999</v>
      </c>
    </row>
    <row r="188" spans="1:13" x14ac:dyDescent="0.3">
      <c r="A188" s="101" t="s">
        <v>43</v>
      </c>
      <c r="B188" s="2">
        <v>0.21505542665635474</v>
      </c>
      <c r="C188" s="3">
        <v>0.12851752473587122</v>
      </c>
      <c r="D188" s="4"/>
      <c r="E188" s="5">
        <v>0.19638815157387354</v>
      </c>
      <c r="F188" s="3">
        <v>0.14133936965470659</v>
      </c>
      <c r="G188" s="4"/>
      <c r="H188" s="5">
        <v>0.19360289205862705</v>
      </c>
      <c r="I188" s="3">
        <v>0.13835341365461848</v>
      </c>
      <c r="J188" s="4"/>
      <c r="K188" s="5">
        <v>0.1548241553327161</v>
      </c>
      <c r="L188" s="2">
        <v>0.15309381237524949</v>
      </c>
      <c r="M188" s="2">
        <v>0.1522459436379163</v>
      </c>
    </row>
    <row r="189" spans="1:13" x14ac:dyDescent="0.3">
      <c r="A189" s="102"/>
      <c r="B189" s="7">
        <v>4171</v>
      </c>
      <c r="C189" s="8">
        <v>15327</v>
      </c>
      <c r="D189" s="9"/>
      <c r="E189" s="10">
        <v>12060</v>
      </c>
      <c r="F189" s="8">
        <v>30970</v>
      </c>
      <c r="G189" s="9"/>
      <c r="H189" s="10">
        <v>14781</v>
      </c>
      <c r="I189" s="8">
        <v>28249</v>
      </c>
      <c r="J189" s="9"/>
      <c r="K189" s="10">
        <v>11873</v>
      </c>
      <c r="L189" s="7">
        <v>22243</v>
      </c>
      <c r="M189" s="7">
        <v>8914</v>
      </c>
    </row>
    <row r="190" spans="1:13" x14ac:dyDescent="0.3">
      <c r="A190" s="101" t="s">
        <v>44</v>
      </c>
      <c r="B190" s="2">
        <v>0.20763083268883734</v>
      </c>
      <c r="C190" s="3">
        <v>0.23886466543686063</v>
      </c>
      <c r="D190" s="4"/>
      <c r="E190" s="5">
        <v>0.23148072758064778</v>
      </c>
      <c r="F190" s="3">
        <v>0.24955503427377029</v>
      </c>
      <c r="G190" s="4"/>
      <c r="H190" s="5">
        <v>0.23118131688213028</v>
      </c>
      <c r="I190" s="3">
        <v>0.2509893231462435</v>
      </c>
      <c r="J190" s="4"/>
      <c r="K190" s="5">
        <v>0.23417267594246743</v>
      </c>
      <c r="L190" s="2">
        <v>0.2343726340422603</v>
      </c>
      <c r="M190" s="2">
        <v>0.2884201537147737</v>
      </c>
    </row>
    <row r="191" spans="1:13" x14ac:dyDescent="0.3">
      <c r="A191" s="102"/>
      <c r="B191" s="7">
        <v>4027</v>
      </c>
      <c r="C191" s="8">
        <v>28487</v>
      </c>
      <c r="D191" s="9"/>
      <c r="E191" s="10">
        <v>14215</v>
      </c>
      <c r="F191" s="8">
        <v>54682</v>
      </c>
      <c r="G191" s="9"/>
      <c r="H191" s="10">
        <v>17650</v>
      </c>
      <c r="I191" s="8">
        <v>51247</v>
      </c>
      <c r="J191" s="9"/>
      <c r="K191" s="10">
        <v>17958</v>
      </c>
      <c r="L191" s="7">
        <v>34052</v>
      </c>
      <c r="M191" s="7">
        <v>16887</v>
      </c>
    </row>
    <row r="192" spans="1:13" x14ac:dyDescent="0.3">
      <c r="A192" s="101" t="s">
        <v>45</v>
      </c>
      <c r="B192" s="2">
        <v>0.11193606599639082</v>
      </c>
      <c r="C192" s="3">
        <v>0.20680865336240148</v>
      </c>
      <c r="D192" s="4"/>
      <c r="E192" s="5">
        <v>0.1300786529661776</v>
      </c>
      <c r="F192" s="3">
        <v>0.19130331602150438</v>
      </c>
      <c r="G192" s="4"/>
      <c r="H192" s="5">
        <v>0.13239550997419677</v>
      </c>
      <c r="I192" s="3">
        <v>0.19491625036732296</v>
      </c>
      <c r="J192" s="4"/>
      <c r="K192" s="5">
        <v>0.1618788060557852</v>
      </c>
      <c r="L192" s="2">
        <v>0.1854566728611742</v>
      </c>
      <c r="M192" s="2">
        <v>0.18013663535439794</v>
      </c>
    </row>
    <row r="193" spans="1:13" x14ac:dyDescent="0.3">
      <c r="A193" s="102"/>
      <c r="B193" s="7">
        <v>2171</v>
      </c>
      <c r="C193" s="8">
        <v>24664</v>
      </c>
      <c r="D193" s="9"/>
      <c r="E193" s="10">
        <v>7988</v>
      </c>
      <c r="F193" s="8">
        <v>41918</v>
      </c>
      <c r="G193" s="9"/>
      <c r="H193" s="10">
        <v>10108</v>
      </c>
      <c r="I193" s="8">
        <v>39798</v>
      </c>
      <c r="J193" s="9"/>
      <c r="K193" s="10">
        <v>12414</v>
      </c>
      <c r="L193" s="7">
        <v>26945</v>
      </c>
      <c r="M193" s="7">
        <v>10547</v>
      </c>
    </row>
    <row r="194" spans="1:13" x14ac:dyDescent="0.3">
      <c r="A194" s="101" t="s">
        <v>46</v>
      </c>
      <c r="B194" s="2">
        <v>0.10745037380768239</v>
      </c>
      <c r="C194" s="3">
        <v>0.13009391246017105</v>
      </c>
      <c r="D194" s="4"/>
      <c r="E194" s="5">
        <v>0.11428292269862723</v>
      </c>
      <c r="F194" s="3">
        <v>0.12520194598344273</v>
      </c>
      <c r="G194" s="4"/>
      <c r="H194" s="5">
        <v>0.11352115996699282</v>
      </c>
      <c r="I194" s="3">
        <v>0.12628563032618279</v>
      </c>
      <c r="J194" s="4"/>
      <c r="K194" s="5">
        <v>0.12510595016104425</v>
      </c>
      <c r="L194" s="2">
        <v>0.12671209305526876</v>
      </c>
      <c r="M194" s="2">
        <v>0.11012809564474808</v>
      </c>
    </row>
    <row r="195" spans="1:13" x14ac:dyDescent="0.3">
      <c r="A195" s="102"/>
      <c r="B195" s="7">
        <v>2084</v>
      </c>
      <c r="C195" s="8">
        <v>15515</v>
      </c>
      <c r="D195" s="9"/>
      <c r="E195" s="10">
        <v>7018</v>
      </c>
      <c r="F195" s="8">
        <v>27434</v>
      </c>
      <c r="G195" s="9"/>
      <c r="H195" s="10">
        <v>8667</v>
      </c>
      <c r="I195" s="8">
        <v>25785</v>
      </c>
      <c r="J195" s="9"/>
      <c r="K195" s="10">
        <v>9594</v>
      </c>
      <c r="L195" s="7">
        <v>18410</v>
      </c>
      <c r="M195" s="7">
        <v>6448</v>
      </c>
    </row>
    <row r="196" spans="1:13" x14ac:dyDescent="0.3">
      <c r="A196" s="101" t="s">
        <v>47</v>
      </c>
      <c r="B196" s="2">
        <v>3.4390306780097961E-2</v>
      </c>
      <c r="C196" s="3">
        <v>3.9778634915311084E-2</v>
      </c>
      <c r="D196" s="4"/>
      <c r="E196" s="5">
        <v>3.2617368789591102E-2</v>
      </c>
      <c r="F196" s="3">
        <v>3.7965844887229712E-2</v>
      </c>
      <c r="G196" s="4"/>
      <c r="H196" s="5">
        <v>3.1252046576813755E-2</v>
      </c>
      <c r="I196" s="3">
        <v>3.8867665785091585E-2</v>
      </c>
      <c r="J196" s="4"/>
      <c r="K196" s="5">
        <v>3.6459895419041037E-2</v>
      </c>
      <c r="L196" s="2">
        <v>3.7263404226030694E-2</v>
      </c>
      <c r="M196" s="2">
        <v>3.6071733561058923E-2</v>
      </c>
    </row>
    <row r="197" spans="1:13" x14ac:dyDescent="0.3">
      <c r="A197" s="102"/>
      <c r="B197" s="7">
        <v>667</v>
      </c>
      <c r="C197" s="8">
        <v>4744</v>
      </c>
      <c r="D197" s="9"/>
      <c r="E197" s="10">
        <v>2003</v>
      </c>
      <c r="F197" s="8">
        <v>8319</v>
      </c>
      <c r="G197" s="9"/>
      <c r="H197" s="10">
        <v>2386</v>
      </c>
      <c r="I197" s="8">
        <v>7936</v>
      </c>
      <c r="J197" s="9"/>
      <c r="K197" s="10">
        <v>2796</v>
      </c>
      <c r="L197" s="7">
        <v>5414</v>
      </c>
      <c r="M197" s="7">
        <v>2112</v>
      </c>
    </row>
    <row r="198" spans="1:13" x14ac:dyDescent="0.3">
      <c r="A198" s="101" t="s">
        <v>48</v>
      </c>
      <c r="B198" s="2">
        <v>3.2173240525908739E-2</v>
      </c>
      <c r="C198" s="3">
        <v>3.3598859634412212E-2</v>
      </c>
      <c r="D198" s="4"/>
      <c r="E198" s="5">
        <v>3.3708414076112622E-2</v>
      </c>
      <c r="F198" s="3">
        <v>3.413229401509689E-2</v>
      </c>
      <c r="G198" s="4"/>
      <c r="H198" s="5">
        <v>3.2627346195659296E-2</v>
      </c>
      <c r="I198" s="3">
        <v>3.4567538446468801E-2</v>
      </c>
      <c r="J198" s="4"/>
      <c r="K198" s="5">
        <v>3.5129813397316363E-2</v>
      </c>
      <c r="L198" s="2">
        <v>3.3202560396448484E-2</v>
      </c>
      <c r="M198" s="2">
        <v>3.4688300597779678E-2</v>
      </c>
    </row>
    <row r="199" spans="1:13" x14ac:dyDescent="0.3">
      <c r="A199" s="102"/>
      <c r="B199" s="7">
        <v>624</v>
      </c>
      <c r="C199" s="8">
        <v>4007</v>
      </c>
      <c r="D199" s="9"/>
      <c r="E199" s="10">
        <v>2070</v>
      </c>
      <c r="F199" s="8">
        <v>7479</v>
      </c>
      <c r="G199" s="9"/>
      <c r="H199" s="10">
        <v>2491</v>
      </c>
      <c r="I199" s="8">
        <v>7058</v>
      </c>
      <c r="J199" s="9"/>
      <c r="K199" s="10">
        <v>2694</v>
      </c>
      <c r="L199" s="7">
        <v>4824</v>
      </c>
      <c r="M199" s="7">
        <v>2031</v>
      </c>
    </row>
    <row r="200" spans="1:13" x14ac:dyDescent="0.3">
      <c r="A200" s="101" t="s">
        <v>49</v>
      </c>
      <c r="B200" s="2">
        <v>4.5372518690384124E-3</v>
      </c>
      <c r="C200" s="3">
        <v>8.2844205936609093E-3</v>
      </c>
      <c r="D200" s="4"/>
      <c r="E200" s="5">
        <v>6.0577439788956017E-3</v>
      </c>
      <c r="F200" s="3">
        <v>8.5570331967250515E-3</v>
      </c>
      <c r="G200" s="4"/>
      <c r="H200" s="5">
        <v>5.8941412236237179E-3</v>
      </c>
      <c r="I200" s="3">
        <v>8.8010578900969728E-3</v>
      </c>
      <c r="J200" s="4"/>
      <c r="K200" s="5">
        <v>6.5852100095192146E-3</v>
      </c>
      <c r="L200" s="2">
        <v>7.7775483515727167E-3</v>
      </c>
      <c r="M200" s="2">
        <v>1.0452604611443211E-2</v>
      </c>
    </row>
    <row r="201" spans="1:13" x14ac:dyDescent="0.3">
      <c r="A201" s="102"/>
      <c r="B201" s="7">
        <v>88</v>
      </c>
      <c r="C201" s="8">
        <v>988</v>
      </c>
      <c r="D201" s="11"/>
      <c r="E201" s="10">
        <v>372</v>
      </c>
      <c r="F201" s="8">
        <v>1875</v>
      </c>
      <c r="G201" s="11"/>
      <c r="H201" s="10">
        <v>450</v>
      </c>
      <c r="I201" s="8">
        <v>1797</v>
      </c>
      <c r="J201" s="11"/>
      <c r="K201" s="10">
        <v>505</v>
      </c>
      <c r="L201" s="7">
        <v>1130</v>
      </c>
      <c r="M201" s="7">
        <v>612</v>
      </c>
    </row>
    <row r="203" spans="1:13" x14ac:dyDescent="0.3">
      <c r="A203" s="45" t="s">
        <v>16</v>
      </c>
      <c r="B203" s="45"/>
      <c r="C203" s="45"/>
      <c r="D203" s="45"/>
      <c r="E203" s="45"/>
      <c r="F203" s="45"/>
    </row>
    <row r="204" spans="1:13" s="21" customFormat="1" ht="28.8" x14ac:dyDescent="0.3">
      <c r="A204" s="16"/>
      <c r="B204" s="17" t="s">
        <v>50</v>
      </c>
      <c r="C204" s="18" t="s">
        <v>51</v>
      </c>
      <c r="D204" s="44"/>
      <c r="E204" s="19" t="s">
        <v>52</v>
      </c>
      <c r="F204" s="17" t="s">
        <v>53</v>
      </c>
      <c r="G204" s="20"/>
    </row>
    <row r="205" spans="1:13" x14ac:dyDescent="0.3">
      <c r="A205" s="99" t="s">
        <v>31</v>
      </c>
      <c r="B205" s="2">
        <v>0.52226810321641592</v>
      </c>
      <c r="C205" s="3">
        <v>0.53132773216897444</v>
      </c>
      <c r="D205" s="4"/>
      <c r="E205" s="5">
        <v>0.57117367849177458</v>
      </c>
      <c r="F205" s="2">
        <v>0.6496950943412696</v>
      </c>
      <c r="G205" s="22"/>
    </row>
    <row r="206" spans="1:13" x14ac:dyDescent="0.3">
      <c r="A206" s="100"/>
      <c r="B206" s="7">
        <v>231077</v>
      </c>
      <c r="C206" s="8">
        <v>49770</v>
      </c>
      <c r="D206" s="9"/>
      <c r="E206" s="10">
        <v>149816</v>
      </c>
      <c r="F206" s="7">
        <v>595454</v>
      </c>
      <c r="G206" s="23"/>
    </row>
    <row r="207" spans="1:13" x14ac:dyDescent="0.3">
      <c r="A207" s="99" t="s">
        <v>32</v>
      </c>
      <c r="B207" s="2">
        <v>0.29455372257593532</v>
      </c>
      <c r="C207" s="3">
        <v>0.28588357122268365</v>
      </c>
      <c r="D207" s="4"/>
      <c r="E207" s="5">
        <v>0.39033912198097565</v>
      </c>
      <c r="F207" s="2">
        <v>0.49050477189085151</v>
      </c>
      <c r="G207" s="22"/>
    </row>
    <row r="208" spans="1:13" x14ac:dyDescent="0.3">
      <c r="A208" s="100"/>
      <c r="B208" s="7">
        <v>130325</v>
      </c>
      <c r="C208" s="8">
        <v>26779</v>
      </c>
      <c r="D208" s="9"/>
      <c r="E208" s="10">
        <v>102384</v>
      </c>
      <c r="F208" s="7">
        <v>449554</v>
      </c>
      <c r="G208" s="23"/>
    </row>
    <row r="209" spans="1:7" x14ac:dyDescent="0.3">
      <c r="A209" s="99" t="s">
        <v>33</v>
      </c>
      <c r="B209" s="2">
        <v>0.22771212049298337</v>
      </c>
      <c r="C209" s="3">
        <v>0.24544416094629073</v>
      </c>
      <c r="D209" s="4"/>
      <c r="E209" s="5">
        <v>0.18083455651079891</v>
      </c>
      <c r="F209" s="2">
        <v>0.15919032245041806</v>
      </c>
      <c r="G209" s="22"/>
    </row>
    <row r="210" spans="1:7" x14ac:dyDescent="0.3">
      <c r="A210" s="100"/>
      <c r="B210" s="7">
        <v>100751</v>
      </c>
      <c r="C210" s="8">
        <v>22991</v>
      </c>
      <c r="D210" s="9"/>
      <c r="E210" s="10">
        <v>47432</v>
      </c>
      <c r="F210" s="7">
        <v>145900</v>
      </c>
      <c r="G210" s="23"/>
    </row>
    <row r="211" spans="1:7" x14ac:dyDescent="0.3">
      <c r="A211" s="99" t="s">
        <v>34</v>
      </c>
      <c r="B211" s="2">
        <v>0.46094352117419185</v>
      </c>
      <c r="C211" s="3">
        <v>0.46210673527559221</v>
      </c>
      <c r="D211" s="4"/>
      <c r="E211" s="5">
        <v>0.47801902438094512</v>
      </c>
      <c r="F211" s="2">
        <v>0.50609211216862171</v>
      </c>
      <c r="G211" s="22"/>
    </row>
    <row r="212" spans="1:7" x14ac:dyDescent="0.3">
      <c r="A212" s="100"/>
      <c r="B212" s="7">
        <v>203944</v>
      </c>
      <c r="C212" s="8">
        <v>43286</v>
      </c>
      <c r="D212" s="9"/>
      <c r="E212" s="10">
        <v>125382</v>
      </c>
      <c r="F212" s="7">
        <v>463840</v>
      </c>
      <c r="G212" s="23"/>
    </row>
    <row r="213" spans="1:7" x14ac:dyDescent="0.3">
      <c r="A213" s="99" t="s">
        <v>35</v>
      </c>
      <c r="B213" s="2">
        <v>6.1324582042224074E-2</v>
      </c>
      <c r="C213" s="3">
        <v>6.9220996893382153E-2</v>
      </c>
      <c r="D213" s="4"/>
      <c r="E213" s="5">
        <v>9.3154654110829405E-2</v>
      </c>
      <c r="F213" s="2">
        <v>0.14360298217264786</v>
      </c>
      <c r="G213" s="22"/>
    </row>
    <row r="214" spans="1:7" x14ac:dyDescent="0.3">
      <c r="A214" s="100"/>
      <c r="B214" s="7">
        <v>27133</v>
      </c>
      <c r="C214" s="8">
        <v>6484</v>
      </c>
      <c r="D214" s="9"/>
      <c r="E214" s="10">
        <v>24434</v>
      </c>
      <c r="F214" s="7">
        <v>131614</v>
      </c>
      <c r="G214" s="23"/>
    </row>
    <row r="215" spans="1:7" x14ac:dyDescent="0.3">
      <c r="A215" s="99" t="s">
        <v>36</v>
      </c>
      <c r="B215" s="2">
        <v>0.47207926789302268</v>
      </c>
      <c r="C215" s="3">
        <v>0.47578225918373884</v>
      </c>
      <c r="D215" s="4"/>
      <c r="E215" s="5">
        <v>0.47295983529994851</v>
      </c>
      <c r="F215" s="2">
        <v>0.4656562427374189</v>
      </c>
      <c r="G215" s="22"/>
    </row>
    <row r="216" spans="1:7" x14ac:dyDescent="0.3">
      <c r="A216" s="100"/>
      <c r="B216" s="7">
        <v>208871</v>
      </c>
      <c r="C216" s="8">
        <v>44567</v>
      </c>
      <c r="D216" s="9"/>
      <c r="E216" s="10">
        <v>124055</v>
      </c>
      <c r="F216" s="7">
        <v>426780</v>
      </c>
      <c r="G216" s="23"/>
    </row>
    <row r="217" spans="1:7" x14ac:dyDescent="0.3">
      <c r="A217" s="99" t="s">
        <v>37</v>
      </c>
      <c r="B217" s="2">
        <v>5.0188835323393202E-2</v>
      </c>
      <c r="C217" s="3">
        <v>5.5545472985235558E-2</v>
      </c>
      <c r="D217" s="4"/>
      <c r="E217" s="5">
        <v>9.8213843191825995E-2</v>
      </c>
      <c r="F217" s="2">
        <v>0.18403885160385069</v>
      </c>
      <c r="G217" s="22"/>
    </row>
    <row r="218" spans="1:7" x14ac:dyDescent="0.3">
      <c r="A218" s="100"/>
      <c r="B218" s="7">
        <v>22206</v>
      </c>
      <c r="C218" s="8">
        <v>5203</v>
      </c>
      <c r="D218" s="11"/>
      <c r="E218" s="10">
        <v>25761</v>
      </c>
      <c r="F218" s="7">
        <v>168674</v>
      </c>
      <c r="G218" s="23"/>
    </row>
    <row r="220" spans="1:7" ht="14.4" customHeight="1" x14ac:dyDescent="0.3">
      <c r="A220" s="45" t="s">
        <v>17</v>
      </c>
      <c r="B220" s="45"/>
      <c r="C220" s="45"/>
      <c r="D220" s="45"/>
      <c r="E220" s="45"/>
      <c r="F220" s="45"/>
    </row>
    <row r="221" spans="1:7" s="21" customFormat="1" ht="28.8" x14ac:dyDescent="0.3">
      <c r="A221" s="16"/>
      <c r="B221" s="17" t="s">
        <v>50</v>
      </c>
      <c r="C221" s="18" t="s">
        <v>51</v>
      </c>
      <c r="D221" s="44"/>
      <c r="E221" s="19" t="s">
        <v>52</v>
      </c>
      <c r="F221" s="17" t="s">
        <v>53</v>
      </c>
      <c r="G221" s="20"/>
    </row>
    <row r="222" spans="1:7" x14ac:dyDescent="0.3">
      <c r="A222" s="99" t="s">
        <v>31</v>
      </c>
      <c r="B222" s="2">
        <v>0.28392852690788933</v>
      </c>
      <c r="C222" s="3">
        <v>0.31909975256753548</v>
      </c>
      <c r="D222" s="4"/>
      <c r="E222" s="5">
        <v>0.41297278246800057</v>
      </c>
      <c r="F222" s="2">
        <v>0.52001564363415143</v>
      </c>
      <c r="G222" s="22"/>
    </row>
    <row r="223" spans="1:7" x14ac:dyDescent="0.3">
      <c r="A223" s="100"/>
      <c r="B223" s="7">
        <v>148048</v>
      </c>
      <c r="C223" s="8">
        <v>47072</v>
      </c>
      <c r="D223" s="9"/>
      <c r="E223" s="10">
        <v>77337</v>
      </c>
      <c r="F223" s="7">
        <v>538510</v>
      </c>
      <c r="G223" s="23"/>
    </row>
    <row r="224" spans="1:7" x14ac:dyDescent="0.3">
      <c r="A224" s="99" t="s">
        <v>32</v>
      </c>
      <c r="B224" s="2">
        <v>0.19624415306457088</v>
      </c>
      <c r="C224" s="3">
        <v>0.21666271226654915</v>
      </c>
      <c r="D224" s="4"/>
      <c r="E224" s="5">
        <v>0.32028792806070411</v>
      </c>
      <c r="F224" s="2">
        <v>0.42799051725386622</v>
      </c>
      <c r="G224" s="22"/>
    </row>
    <row r="225" spans="1:7" x14ac:dyDescent="0.3">
      <c r="A225" s="100"/>
      <c r="B225" s="7">
        <v>102327</v>
      </c>
      <c r="C225" s="8">
        <v>31961</v>
      </c>
      <c r="D225" s="9"/>
      <c r="E225" s="10">
        <v>59980</v>
      </c>
      <c r="F225" s="7">
        <v>443212</v>
      </c>
      <c r="G225" s="23"/>
    </row>
    <row r="226" spans="1:7" x14ac:dyDescent="0.3">
      <c r="A226" s="99" t="s">
        <v>33</v>
      </c>
      <c r="B226" s="2">
        <v>8.734683857951353E-2</v>
      </c>
      <c r="C226" s="3">
        <v>0.10236925058468631</v>
      </c>
      <c r="D226" s="4"/>
      <c r="E226" s="5">
        <v>9.2615435549930847E-2</v>
      </c>
      <c r="F226" s="2">
        <v>9.1973946589542901E-2</v>
      </c>
      <c r="G226" s="22"/>
    </row>
    <row r="227" spans="1:7" x14ac:dyDescent="0.3">
      <c r="A227" s="100"/>
      <c r="B227" s="7">
        <v>45545</v>
      </c>
      <c r="C227" s="8">
        <v>15101</v>
      </c>
      <c r="D227" s="9"/>
      <c r="E227" s="10">
        <v>17344</v>
      </c>
      <c r="F227" s="7">
        <v>95245</v>
      </c>
      <c r="G227" s="23"/>
    </row>
    <row r="228" spans="1:7" x14ac:dyDescent="0.3">
      <c r="A228" s="99" t="s">
        <v>34</v>
      </c>
      <c r="B228" s="2">
        <v>0.238152224568348</v>
      </c>
      <c r="C228" s="3">
        <v>0.25825170321662205</v>
      </c>
      <c r="D228" s="4"/>
      <c r="E228" s="5">
        <v>0.33008666677346493</v>
      </c>
      <c r="F228" s="2">
        <v>0.38774002597615792</v>
      </c>
      <c r="G228" s="22"/>
    </row>
    <row r="229" spans="1:7" x14ac:dyDescent="0.3">
      <c r="A229" s="100"/>
      <c r="B229" s="7">
        <v>124179</v>
      </c>
      <c r="C229" s="8">
        <v>38096</v>
      </c>
      <c r="D229" s="9"/>
      <c r="E229" s="10">
        <v>61815</v>
      </c>
      <c r="F229" s="7">
        <v>401530</v>
      </c>
      <c r="G229" s="23"/>
    </row>
    <row r="230" spans="1:7" x14ac:dyDescent="0.3">
      <c r="A230" s="99" t="s">
        <v>35</v>
      </c>
      <c r="B230" s="2">
        <v>4.5776302339541296E-2</v>
      </c>
      <c r="C230" s="3">
        <v>6.0848049350913466E-2</v>
      </c>
      <c r="D230" s="4"/>
      <c r="E230" s="5">
        <v>8.2886115694535661E-2</v>
      </c>
      <c r="F230" s="2">
        <v>0.13227561765799345</v>
      </c>
      <c r="G230" s="22"/>
    </row>
    <row r="231" spans="1:7" x14ac:dyDescent="0.3">
      <c r="A231" s="100"/>
      <c r="B231" s="7">
        <v>23869</v>
      </c>
      <c r="C231" s="8">
        <v>8976</v>
      </c>
      <c r="D231" s="9"/>
      <c r="E231" s="10">
        <v>15522</v>
      </c>
      <c r="F231" s="7">
        <v>136980</v>
      </c>
      <c r="G231" s="23"/>
    </row>
    <row r="232" spans="1:7" x14ac:dyDescent="0.3">
      <c r="A232" s="99" t="s">
        <v>36</v>
      </c>
      <c r="B232" s="2">
        <v>0.24928705264591208</v>
      </c>
      <c r="C232" s="3">
        <v>0.27430430803647088</v>
      </c>
      <c r="D232" s="4"/>
      <c r="E232" s="5">
        <v>0.32907742338561108</v>
      </c>
      <c r="F232" s="2">
        <v>0.37361440373129645</v>
      </c>
      <c r="G232" s="22"/>
    </row>
    <row r="233" spans="1:7" x14ac:dyDescent="0.3">
      <c r="A233" s="100"/>
      <c r="B233" s="7">
        <v>129985</v>
      </c>
      <c r="C233" s="8">
        <v>40464</v>
      </c>
      <c r="D233" s="9"/>
      <c r="E233" s="10">
        <v>61626</v>
      </c>
      <c r="F233" s="7">
        <v>386902</v>
      </c>
      <c r="G233" s="23"/>
    </row>
    <row r="234" spans="1:7" x14ac:dyDescent="0.3">
      <c r="A234" s="99" t="s">
        <v>37</v>
      </c>
      <c r="B234" s="2">
        <v>3.464147426197723E-2</v>
      </c>
      <c r="C234" s="3">
        <v>4.479544453106464E-2</v>
      </c>
      <c r="D234" s="4"/>
      <c r="E234" s="5">
        <v>8.3895359082389501E-2</v>
      </c>
      <c r="F234" s="2">
        <v>0.14640123990285497</v>
      </c>
      <c r="G234" s="22"/>
    </row>
    <row r="235" spans="1:7" x14ac:dyDescent="0.3">
      <c r="A235" s="100"/>
      <c r="B235" s="7">
        <v>18063</v>
      </c>
      <c r="C235" s="8">
        <v>6608</v>
      </c>
      <c r="D235" s="11"/>
      <c r="E235" s="10">
        <v>15711</v>
      </c>
      <c r="F235" s="7">
        <v>151608</v>
      </c>
      <c r="G235" s="23"/>
    </row>
  </sheetData>
  <mergeCells count="96">
    <mergeCell ref="A228:A229"/>
    <mergeCell ref="A230:A231"/>
    <mergeCell ref="A232:A233"/>
    <mergeCell ref="A234:A235"/>
    <mergeCell ref="A215:A216"/>
    <mergeCell ref="A217:A218"/>
    <mergeCell ref="A222:A223"/>
    <mergeCell ref="A224:A225"/>
    <mergeCell ref="A226:A227"/>
    <mergeCell ref="A205:A206"/>
    <mergeCell ref="A207:A208"/>
    <mergeCell ref="A209:A210"/>
    <mergeCell ref="A211:A212"/>
    <mergeCell ref="A213:A214"/>
    <mergeCell ref="A200:A201"/>
    <mergeCell ref="A177:A178"/>
    <mergeCell ref="A179:A180"/>
    <mergeCell ref="A181:A182"/>
    <mergeCell ref="A186:A187"/>
    <mergeCell ref="A188:A189"/>
    <mergeCell ref="A190:A191"/>
    <mergeCell ref="A192:A193"/>
    <mergeCell ref="A194:A195"/>
    <mergeCell ref="A196:A197"/>
    <mergeCell ref="A198:A199"/>
    <mergeCell ref="A164:A165"/>
    <mergeCell ref="A166:A167"/>
    <mergeCell ref="A168:A169"/>
    <mergeCell ref="A170:A171"/>
    <mergeCell ref="A175:A176"/>
    <mergeCell ref="A162:A163"/>
    <mergeCell ref="A134:A135"/>
    <mergeCell ref="A136:A137"/>
    <mergeCell ref="A141:A142"/>
    <mergeCell ref="A143:A144"/>
    <mergeCell ref="A145:A146"/>
    <mergeCell ref="A147:A148"/>
    <mergeCell ref="A149:A150"/>
    <mergeCell ref="A151:A152"/>
    <mergeCell ref="A153:A154"/>
    <mergeCell ref="A158:A159"/>
    <mergeCell ref="A160:A161"/>
    <mergeCell ref="A132:A133"/>
    <mergeCell ref="A107:A108"/>
    <mergeCell ref="A109:A110"/>
    <mergeCell ref="A111:A112"/>
    <mergeCell ref="A113:A114"/>
    <mergeCell ref="A115:A116"/>
    <mergeCell ref="A117:A118"/>
    <mergeCell ref="A119:A120"/>
    <mergeCell ref="A124:A125"/>
    <mergeCell ref="A126:A127"/>
    <mergeCell ref="A128:A129"/>
    <mergeCell ref="A130:A131"/>
    <mergeCell ref="A102:A103"/>
    <mergeCell ref="A77:A78"/>
    <mergeCell ref="A79:A80"/>
    <mergeCell ref="A81:A82"/>
    <mergeCell ref="A83:A84"/>
    <mergeCell ref="A85:A86"/>
    <mergeCell ref="A90:A91"/>
    <mergeCell ref="A92:A93"/>
    <mergeCell ref="A94:A95"/>
    <mergeCell ref="A96:A97"/>
    <mergeCell ref="A98:A99"/>
    <mergeCell ref="A100:A101"/>
    <mergeCell ref="A75:A76"/>
    <mergeCell ref="A47:A48"/>
    <mergeCell ref="A49:A50"/>
    <mergeCell ref="A51:A52"/>
    <mergeCell ref="A56:A57"/>
    <mergeCell ref="A58:A59"/>
    <mergeCell ref="A60:A61"/>
    <mergeCell ref="A62:A63"/>
    <mergeCell ref="A64:A65"/>
    <mergeCell ref="A66:A67"/>
    <mergeCell ref="A68:A69"/>
    <mergeCell ref="A73:A74"/>
    <mergeCell ref="A45:A46"/>
    <mergeCell ref="A17:A18"/>
    <mergeCell ref="A22:A23"/>
    <mergeCell ref="A24:A25"/>
    <mergeCell ref="A26:A27"/>
    <mergeCell ref="A28:A29"/>
    <mergeCell ref="A30:A31"/>
    <mergeCell ref="A32:A33"/>
    <mergeCell ref="A34:A35"/>
    <mergeCell ref="A39:A40"/>
    <mergeCell ref="A41:A42"/>
    <mergeCell ref="A43:A44"/>
    <mergeCell ref="A15:A16"/>
    <mergeCell ref="A5:A6"/>
    <mergeCell ref="A7:A8"/>
    <mergeCell ref="A9:A10"/>
    <mergeCell ref="A11:A12"/>
    <mergeCell ref="A13:A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C1F76-5692-4A6F-B1D4-53D0EF3F06FA}">
  <dimension ref="A1:I146"/>
  <sheetViews>
    <sheetView zoomScale="80" zoomScaleNormal="80" workbookViewId="0">
      <pane ySplit="3" topLeftCell="A4" activePane="bottomLeft" state="frozen"/>
      <selection activeCell="A61" sqref="A61:A62"/>
      <selection pane="bottomLeft"/>
    </sheetView>
  </sheetViews>
  <sheetFormatPr defaultColWidth="8.88671875" defaultRowHeight="14.4" x14ac:dyDescent="0.3"/>
  <cols>
    <col min="1" max="1" width="16.6640625" customWidth="1"/>
    <col min="2" max="2" width="58.88671875" bestFit="1" customWidth="1"/>
    <col min="3" max="4" width="10.6640625" style="27" customWidth="1"/>
    <col min="6" max="6" width="16.6640625" customWidth="1"/>
    <col min="7" max="7" width="58.88671875" bestFit="1" customWidth="1"/>
    <col min="8" max="9" width="10.6640625" style="27" customWidth="1"/>
  </cols>
  <sheetData>
    <row r="1" spans="1:9" ht="21" x14ac:dyDescent="0.4">
      <c r="A1" s="81" t="s">
        <v>394</v>
      </c>
    </row>
    <row r="2" spans="1:9" ht="15" customHeight="1" x14ac:dyDescent="0.4">
      <c r="A2" s="81"/>
    </row>
    <row r="3" spans="1:9" ht="18" x14ac:dyDescent="0.35">
      <c r="A3" s="103" t="s">
        <v>388</v>
      </c>
      <c r="B3" s="103"/>
      <c r="C3" s="103"/>
      <c r="D3" s="103"/>
      <c r="F3" s="103" t="s">
        <v>389</v>
      </c>
      <c r="G3" s="103"/>
      <c r="H3" s="103"/>
      <c r="I3" s="103"/>
    </row>
    <row r="4" spans="1:9" ht="14.4" customHeight="1" x14ac:dyDescent="0.3">
      <c r="A4" s="40" t="s">
        <v>54</v>
      </c>
      <c r="B4" s="40"/>
      <c r="C4" s="40"/>
      <c r="D4" s="40"/>
      <c r="F4" s="40" t="s">
        <v>55</v>
      </c>
      <c r="G4" s="40"/>
      <c r="H4" s="40"/>
      <c r="I4" s="40"/>
    </row>
    <row r="5" spans="1:9" s="24" customFormat="1" x14ac:dyDescent="0.3">
      <c r="A5" s="38"/>
      <c r="B5" s="82" t="s">
        <v>56</v>
      </c>
      <c r="C5" s="39" t="s">
        <v>57</v>
      </c>
      <c r="D5" s="39" t="s">
        <v>58</v>
      </c>
      <c r="F5" s="38"/>
      <c r="G5" s="39" t="s">
        <v>56</v>
      </c>
      <c r="H5" s="39" t="s">
        <v>57</v>
      </c>
      <c r="I5" s="39" t="s">
        <v>58</v>
      </c>
    </row>
    <row r="6" spans="1:9" x14ac:dyDescent="0.3">
      <c r="A6" s="104" t="s">
        <v>22</v>
      </c>
      <c r="B6" s="25" t="s">
        <v>59</v>
      </c>
      <c r="C6" s="83" t="s">
        <v>60</v>
      </c>
      <c r="D6" s="84">
        <v>0.2165347142691165</v>
      </c>
      <c r="E6" s="26"/>
      <c r="F6" s="104" t="s">
        <v>22</v>
      </c>
      <c r="G6" s="25" t="s">
        <v>59</v>
      </c>
      <c r="H6" s="83" t="s">
        <v>61</v>
      </c>
      <c r="I6" s="84">
        <v>0.14606582048442512</v>
      </c>
    </row>
    <row r="7" spans="1:9" x14ac:dyDescent="0.3">
      <c r="A7" s="105"/>
      <c r="B7" s="25" t="s">
        <v>62</v>
      </c>
      <c r="C7" s="83" t="s">
        <v>63</v>
      </c>
      <c r="D7" s="84">
        <v>0.10048299556839117</v>
      </c>
      <c r="E7" s="26"/>
      <c r="F7" s="105"/>
      <c r="G7" s="25" t="s">
        <v>64</v>
      </c>
      <c r="H7" s="83" t="s">
        <v>65</v>
      </c>
      <c r="I7" s="84">
        <v>0.10418263906635999</v>
      </c>
    </row>
    <row r="8" spans="1:9" x14ac:dyDescent="0.3">
      <c r="A8" s="105"/>
      <c r="B8" s="25" t="s">
        <v>64</v>
      </c>
      <c r="C8" s="83" t="s">
        <v>66</v>
      </c>
      <c r="D8" s="84">
        <v>8.8250427392985775E-2</v>
      </c>
      <c r="E8" s="26"/>
      <c r="F8" s="105"/>
      <c r="G8" s="25" t="s">
        <v>62</v>
      </c>
      <c r="H8" s="83" t="s">
        <v>67</v>
      </c>
      <c r="I8" s="84">
        <v>8.6960842774796265E-2</v>
      </c>
    </row>
    <row r="9" spans="1:9" x14ac:dyDescent="0.3">
      <c r="A9" s="105"/>
      <c r="B9" s="25" t="s">
        <v>68</v>
      </c>
      <c r="C9" s="83" t="s">
        <v>69</v>
      </c>
      <c r="D9" s="84">
        <v>3.5486066158774421E-2</v>
      </c>
      <c r="E9" s="26"/>
      <c r="F9" s="105"/>
      <c r="G9" s="25" t="s">
        <v>70</v>
      </c>
      <c r="H9" s="83" t="s">
        <v>71</v>
      </c>
      <c r="I9" s="84">
        <v>7.6241587869494851E-2</v>
      </c>
    </row>
    <row r="10" spans="1:9" x14ac:dyDescent="0.3">
      <c r="A10" s="105"/>
      <c r="B10" s="25" t="s">
        <v>72</v>
      </c>
      <c r="C10" s="83" t="s">
        <v>73</v>
      </c>
      <c r="D10" s="84">
        <v>3.468937243771681E-2</v>
      </c>
      <c r="E10" s="26"/>
      <c r="F10" s="105"/>
      <c r="G10" s="25" t="s">
        <v>45</v>
      </c>
      <c r="H10" s="83" t="s">
        <v>74</v>
      </c>
      <c r="I10" s="84">
        <v>5.6166056166056168E-2</v>
      </c>
    </row>
    <row r="11" spans="1:9" x14ac:dyDescent="0.3">
      <c r="A11" s="99" t="s">
        <v>23</v>
      </c>
      <c r="B11" s="1" t="s">
        <v>59</v>
      </c>
      <c r="C11" s="85" t="s">
        <v>75</v>
      </c>
      <c r="D11" s="86">
        <v>0.33180365588648858</v>
      </c>
      <c r="E11" s="26"/>
      <c r="F11" s="99" t="s">
        <v>23</v>
      </c>
      <c r="G11" s="1" t="s">
        <v>59</v>
      </c>
      <c r="H11" s="85" t="s">
        <v>76</v>
      </c>
      <c r="I11" s="86">
        <v>0.1758768724881257</v>
      </c>
    </row>
    <row r="12" spans="1:9" x14ac:dyDescent="0.3">
      <c r="A12" s="100"/>
      <c r="B12" s="1" t="s">
        <v>64</v>
      </c>
      <c r="C12" s="85" t="s">
        <v>77</v>
      </c>
      <c r="D12" s="86">
        <v>0.10690272274063659</v>
      </c>
      <c r="E12" s="26"/>
      <c r="F12" s="100"/>
      <c r="G12" s="1" t="s">
        <v>64</v>
      </c>
      <c r="H12" s="85" t="s">
        <v>78</v>
      </c>
      <c r="I12" s="86">
        <v>0.14522058823529413</v>
      </c>
    </row>
    <row r="13" spans="1:9" x14ac:dyDescent="0.3">
      <c r="A13" s="100"/>
      <c r="B13" s="1" t="s">
        <v>62</v>
      </c>
      <c r="C13" s="85" t="s">
        <v>79</v>
      </c>
      <c r="D13" s="86">
        <v>6.0207081682219096E-2</v>
      </c>
      <c r="E13" s="26"/>
      <c r="F13" s="100"/>
      <c r="G13" s="1" t="s">
        <v>45</v>
      </c>
      <c r="H13" s="85" t="s">
        <v>80</v>
      </c>
      <c r="I13" s="86">
        <v>7.8827183047131891E-2</v>
      </c>
    </row>
    <row r="14" spans="1:9" x14ac:dyDescent="0.3">
      <c r="A14" s="100"/>
      <c r="B14" s="1" t="s">
        <v>72</v>
      </c>
      <c r="C14" s="85" t="s">
        <v>81</v>
      </c>
      <c r="D14" s="86">
        <v>4.7194171034130129E-2</v>
      </c>
      <c r="E14" s="26"/>
      <c r="F14" s="100"/>
      <c r="G14" s="1" t="s">
        <v>70</v>
      </c>
      <c r="H14" s="85" t="s">
        <v>82</v>
      </c>
      <c r="I14" s="86">
        <v>6.6560863475825113E-2</v>
      </c>
    </row>
    <row r="15" spans="1:9" x14ac:dyDescent="0.3">
      <c r="A15" s="100"/>
      <c r="B15" s="1" t="s">
        <v>83</v>
      </c>
      <c r="C15" s="85" t="s">
        <v>84</v>
      </c>
      <c r="D15" s="86">
        <v>3.2941326856704589E-2</v>
      </c>
      <c r="E15" s="26"/>
      <c r="F15" s="100"/>
      <c r="G15" s="1" t="s">
        <v>62</v>
      </c>
      <c r="H15" s="85" t="s">
        <v>85</v>
      </c>
      <c r="I15" s="86">
        <v>6.1921507733528197E-2</v>
      </c>
    </row>
    <row r="16" spans="1:9" x14ac:dyDescent="0.3">
      <c r="A16" s="104" t="s">
        <v>24</v>
      </c>
      <c r="B16" s="25" t="s">
        <v>59</v>
      </c>
      <c r="C16" s="83" t="s">
        <v>86</v>
      </c>
      <c r="D16" s="84">
        <v>0.22636614892275864</v>
      </c>
      <c r="E16" s="26"/>
      <c r="F16" s="104" t="s">
        <v>24</v>
      </c>
      <c r="G16" s="25" t="s">
        <v>59</v>
      </c>
      <c r="H16" s="83" t="s">
        <v>87</v>
      </c>
      <c r="I16" s="84">
        <v>0.14991343313983094</v>
      </c>
    </row>
    <row r="17" spans="1:9" x14ac:dyDescent="0.3">
      <c r="A17" s="105"/>
      <c r="B17" s="25" t="s">
        <v>64</v>
      </c>
      <c r="C17" s="83" t="s">
        <v>88</v>
      </c>
      <c r="D17" s="84">
        <v>9.1908971893132491E-2</v>
      </c>
      <c r="E17" s="26"/>
      <c r="F17" s="105"/>
      <c r="G17" s="25" t="s">
        <v>64</v>
      </c>
      <c r="H17" s="83" t="s">
        <v>89</v>
      </c>
      <c r="I17" s="84">
        <v>0.10462496180873816</v>
      </c>
    </row>
    <row r="18" spans="1:9" x14ac:dyDescent="0.3">
      <c r="A18" s="105"/>
      <c r="B18" s="25" t="s">
        <v>62</v>
      </c>
      <c r="C18" s="83" t="s">
        <v>90</v>
      </c>
      <c r="D18" s="84">
        <v>8.7852143976984376E-2</v>
      </c>
      <c r="E18" s="26"/>
      <c r="F18" s="105"/>
      <c r="G18" s="25" t="s">
        <v>62</v>
      </c>
      <c r="H18" s="83" t="s">
        <v>91</v>
      </c>
      <c r="I18" s="84">
        <v>8.3218759547815463E-2</v>
      </c>
    </row>
    <row r="19" spans="1:9" x14ac:dyDescent="0.3">
      <c r="A19" s="105"/>
      <c r="B19" s="25" t="s">
        <v>72</v>
      </c>
      <c r="C19" s="83" t="s">
        <v>92</v>
      </c>
      <c r="D19" s="84">
        <v>3.8216611982996883E-2</v>
      </c>
      <c r="E19" s="26"/>
      <c r="F19" s="105"/>
      <c r="G19" s="25" t="s">
        <v>70</v>
      </c>
      <c r="H19" s="83" t="s">
        <v>93</v>
      </c>
      <c r="I19" s="84">
        <v>7.7725583053264075E-2</v>
      </c>
    </row>
    <row r="20" spans="1:9" x14ac:dyDescent="0.3">
      <c r="A20" s="105"/>
      <c r="B20" s="25" t="s">
        <v>68</v>
      </c>
      <c r="C20" s="83" t="s">
        <v>94</v>
      </c>
      <c r="D20" s="84">
        <v>3.4070889431235957E-2</v>
      </c>
      <c r="E20" s="26"/>
      <c r="F20" s="105"/>
      <c r="G20" s="25" t="s">
        <v>45</v>
      </c>
      <c r="H20" s="83" t="s">
        <v>95</v>
      </c>
      <c r="I20" s="84">
        <v>6.0151237396883592E-2</v>
      </c>
    </row>
    <row r="21" spans="1:9" x14ac:dyDescent="0.3">
      <c r="A21" s="99" t="s">
        <v>25</v>
      </c>
      <c r="B21" s="1" t="s">
        <v>59</v>
      </c>
      <c r="C21" s="85" t="s">
        <v>96</v>
      </c>
      <c r="D21" s="86">
        <v>0.32676432251256904</v>
      </c>
      <c r="E21" s="26"/>
      <c r="F21" s="99" t="s">
        <v>25</v>
      </c>
      <c r="G21" s="1" t="s">
        <v>59</v>
      </c>
      <c r="H21" s="85" t="s">
        <v>97</v>
      </c>
      <c r="I21" s="86">
        <v>0.16970927894075058</v>
      </c>
    </row>
    <row r="22" spans="1:9" x14ac:dyDescent="0.3">
      <c r="A22" s="100"/>
      <c r="B22" s="1" t="s">
        <v>64</v>
      </c>
      <c r="C22" s="85" t="s">
        <v>98</v>
      </c>
      <c r="D22" s="86">
        <v>0.10139035441623735</v>
      </c>
      <c r="E22" s="26"/>
      <c r="F22" s="100"/>
      <c r="G22" s="1" t="s">
        <v>64</v>
      </c>
      <c r="H22" s="85" t="s">
        <v>99</v>
      </c>
      <c r="I22" s="86">
        <v>0.1307900525058974</v>
      </c>
    </row>
    <row r="23" spans="1:9" x14ac:dyDescent="0.3">
      <c r="A23" s="100"/>
      <c r="B23" s="1" t="s">
        <v>62</v>
      </c>
      <c r="C23" s="85" t="s">
        <v>100</v>
      </c>
      <c r="D23" s="86">
        <v>7.4090166139076818E-2</v>
      </c>
      <c r="E23" s="26"/>
      <c r="F23" s="100"/>
      <c r="G23" s="1" t="s">
        <v>45</v>
      </c>
      <c r="H23" s="85" t="s">
        <v>101</v>
      </c>
      <c r="I23" s="86">
        <v>7.4488438918864072E-2</v>
      </c>
    </row>
    <row r="24" spans="1:9" x14ac:dyDescent="0.3">
      <c r="A24" s="100"/>
      <c r="B24" s="1" t="s">
        <v>72</v>
      </c>
      <c r="C24" s="85" t="s">
        <v>102</v>
      </c>
      <c r="D24" s="86">
        <v>4.6577907433844372E-2</v>
      </c>
      <c r="E24" s="26"/>
      <c r="F24" s="100"/>
      <c r="G24" s="1" t="s">
        <v>62</v>
      </c>
      <c r="H24" s="85" t="s">
        <v>103</v>
      </c>
      <c r="I24" s="86">
        <v>7.0232526117063876E-2</v>
      </c>
    </row>
    <row r="25" spans="1:9" x14ac:dyDescent="0.3">
      <c r="A25" s="100"/>
      <c r="B25" s="1" t="s">
        <v>83</v>
      </c>
      <c r="C25" s="85" t="s">
        <v>104</v>
      </c>
      <c r="D25" s="86">
        <v>3.144332029876068E-2</v>
      </c>
      <c r="E25" s="26"/>
      <c r="F25" s="100"/>
      <c r="G25" s="1" t="s">
        <v>70</v>
      </c>
      <c r="H25" s="85" t="s">
        <v>105</v>
      </c>
      <c r="I25" s="86">
        <v>6.9833930622642398E-2</v>
      </c>
    </row>
    <row r="26" spans="1:9" x14ac:dyDescent="0.3">
      <c r="A26" s="104" t="s">
        <v>26</v>
      </c>
      <c r="B26" s="25" t="s">
        <v>59</v>
      </c>
      <c r="C26" s="83" t="s">
        <v>106</v>
      </c>
      <c r="D26" s="84">
        <v>0.24895568317553296</v>
      </c>
      <c r="E26" s="26"/>
      <c r="F26" s="104" t="s">
        <v>26</v>
      </c>
      <c r="G26" s="25" t="s">
        <v>59</v>
      </c>
      <c r="H26" s="83" t="s">
        <v>107</v>
      </c>
      <c r="I26" s="84">
        <v>0.1611626537864887</v>
      </c>
    </row>
    <row r="27" spans="1:9" x14ac:dyDescent="0.3">
      <c r="A27" s="105"/>
      <c r="B27" s="25" t="s">
        <v>64</v>
      </c>
      <c r="C27" s="83" t="s">
        <v>108</v>
      </c>
      <c r="D27" s="84">
        <v>9.7784496197269588E-2</v>
      </c>
      <c r="E27" s="26"/>
      <c r="F27" s="105"/>
      <c r="G27" s="25" t="s">
        <v>64</v>
      </c>
      <c r="H27" s="83" t="s">
        <v>109</v>
      </c>
      <c r="I27" s="84">
        <v>0.11062313876987998</v>
      </c>
    </row>
    <row r="28" spans="1:9" x14ac:dyDescent="0.3">
      <c r="A28" s="105"/>
      <c r="B28" s="25" t="s">
        <v>62</v>
      </c>
      <c r="C28" s="83" t="s">
        <v>110</v>
      </c>
      <c r="D28" s="84">
        <v>8.1142911130156634E-2</v>
      </c>
      <c r="E28" s="26"/>
      <c r="F28" s="105"/>
      <c r="G28" s="25" t="s">
        <v>62</v>
      </c>
      <c r="H28" s="83" t="s">
        <v>111</v>
      </c>
      <c r="I28" s="84">
        <v>7.8544448216441992E-2</v>
      </c>
    </row>
    <row r="29" spans="1:9" x14ac:dyDescent="0.3">
      <c r="A29" s="105"/>
      <c r="B29" s="25" t="s">
        <v>72</v>
      </c>
      <c r="C29" s="83" t="s">
        <v>112</v>
      </c>
      <c r="D29" s="84">
        <v>4.3365298313571735E-2</v>
      </c>
      <c r="E29" s="26"/>
      <c r="F29" s="105"/>
      <c r="G29" s="25" t="s">
        <v>70</v>
      </c>
      <c r="H29" s="83" t="s">
        <v>113</v>
      </c>
      <c r="I29" s="84">
        <v>7.8011593879050656E-2</v>
      </c>
    </row>
    <row r="30" spans="1:9" x14ac:dyDescent="0.3">
      <c r="A30" s="105"/>
      <c r="B30" s="25" t="s">
        <v>83</v>
      </c>
      <c r="C30" s="83" t="s">
        <v>114</v>
      </c>
      <c r="D30" s="84">
        <v>3.4221199462826368E-2</v>
      </c>
      <c r="E30" s="26"/>
      <c r="F30" s="105"/>
      <c r="G30" s="25" t="s">
        <v>45</v>
      </c>
      <c r="H30" s="83" t="s">
        <v>115</v>
      </c>
      <c r="I30" s="84">
        <v>6.0947363445333011E-2</v>
      </c>
    </row>
    <row r="31" spans="1:9" x14ac:dyDescent="0.3">
      <c r="A31" s="99" t="s">
        <v>27</v>
      </c>
      <c r="B31" s="1" t="s">
        <v>59</v>
      </c>
      <c r="C31" s="85" t="s">
        <v>116</v>
      </c>
      <c r="D31" s="86">
        <v>0.32147361315878287</v>
      </c>
      <c r="E31" s="26"/>
      <c r="F31" s="99" t="s">
        <v>27</v>
      </c>
      <c r="G31" s="1" t="s">
        <v>59</v>
      </c>
      <c r="H31" s="85" t="s">
        <v>117</v>
      </c>
      <c r="I31" s="86">
        <v>0.16735561046578759</v>
      </c>
    </row>
    <row r="32" spans="1:9" x14ac:dyDescent="0.3">
      <c r="A32" s="100"/>
      <c r="B32" s="1" t="s">
        <v>64</v>
      </c>
      <c r="C32" s="85" t="s">
        <v>118</v>
      </c>
      <c r="D32" s="86">
        <v>9.7607332539922195E-2</v>
      </c>
      <c r="E32" s="26"/>
      <c r="F32" s="100"/>
      <c r="G32" s="1" t="s">
        <v>64</v>
      </c>
      <c r="H32" s="85" t="s">
        <v>119</v>
      </c>
      <c r="I32" s="86">
        <v>0.13201268860230134</v>
      </c>
    </row>
    <row r="33" spans="1:9" x14ac:dyDescent="0.3">
      <c r="A33" s="100"/>
      <c r="B33" s="1" t="s">
        <v>62</v>
      </c>
      <c r="C33" s="85" t="s">
        <v>120</v>
      </c>
      <c r="D33" s="86">
        <v>7.7985209395408872E-2</v>
      </c>
      <c r="E33" s="26"/>
      <c r="F33" s="100"/>
      <c r="G33" s="1" t="s">
        <v>45</v>
      </c>
      <c r="H33" s="85" t="s">
        <v>121</v>
      </c>
      <c r="I33" s="86">
        <v>7.6375140920322548E-2</v>
      </c>
    </row>
    <row r="34" spans="1:9" x14ac:dyDescent="0.3">
      <c r="A34" s="100"/>
      <c r="B34" s="1" t="s">
        <v>72</v>
      </c>
      <c r="C34" s="85" t="s">
        <v>122</v>
      </c>
      <c r="D34" s="86">
        <v>4.3270511750182067E-2</v>
      </c>
      <c r="E34" s="26"/>
      <c r="F34" s="100"/>
      <c r="G34" s="1" t="s">
        <v>62</v>
      </c>
      <c r="H34" s="85" t="s">
        <v>123</v>
      </c>
      <c r="I34" s="86">
        <v>7.0454912844585618E-2</v>
      </c>
    </row>
    <row r="35" spans="1:9" x14ac:dyDescent="0.3">
      <c r="A35" s="100"/>
      <c r="B35" s="1" t="s">
        <v>83</v>
      </c>
      <c r="C35" s="85" t="s">
        <v>124</v>
      </c>
      <c r="D35" s="86">
        <v>2.941542178091195E-2</v>
      </c>
      <c r="E35" s="26"/>
      <c r="F35" s="100"/>
      <c r="G35" s="1" t="s">
        <v>70</v>
      </c>
      <c r="H35" s="85" t="s">
        <v>125</v>
      </c>
      <c r="I35" s="86">
        <v>6.8441615424503444E-2</v>
      </c>
    </row>
    <row r="36" spans="1:9" x14ac:dyDescent="0.3">
      <c r="A36" s="104" t="s">
        <v>28</v>
      </c>
      <c r="B36" s="25" t="s">
        <v>59</v>
      </c>
      <c r="C36" s="83" t="s">
        <v>126</v>
      </c>
      <c r="D36" s="84">
        <v>0.246443933179954</v>
      </c>
      <c r="E36" s="26"/>
      <c r="F36" s="104" t="s">
        <v>28</v>
      </c>
      <c r="G36" s="25" t="s">
        <v>59</v>
      </c>
      <c r="H36" s="83" t="s">
        <v>127</v>
      </c>
      <c r="I36" s="84">
        <v>0.16228045706518707</v>
      </c>
    </row>
    <row r="37" spans="1:9" x14ac:dyDescent="0.3">
      <c r="A37" s="105"/>
      <c r="B37" s="25" t="s">
        <v>64</v>
      </c>
      <c r="C37" s="83" t="s">
        <v>128</v>
      </c>
      <c r="D37" s="84">
        <v>9.9599879963989196E-2</v>
      </c>
      <c r="E37" s="26"/>
      <c r="F37" s="105"/>
      <c r="G37" s="25" t="s">
        <v>64</v>
      </c>
      <c r="H37" s="83" t="s">
        <v>129</v>
      </c>
      <c r="I37" s="84">
        <v>0.11760350152912953</v>
      </c>
    </row>
    <row r="38" spans="1:9" x14ac:dyDescent="0.3">
      <c r="A38" s="105"/>
      <c r="B38" s="25" t="s">
        <v>62</v>
      </c>
      <c r="C38" s="83" t="s">
        <v>130</v>
      </c>
      <c r="D38" s="84">
        <v>7.8863659097729313E-2</v>
      </c>
      <c r="E38" s="26"/>
      <c r="F38" s="105"/>
      <c r="G38" s="25" t="s">
        <v>70</v>
      </c>
      <c r="H38" s="83" t="s">
        <v>131</v>
      </c>
      <c r="I38" s="84">
        <v>7.5381268036374516E-2</v>
      </c>
    </row>
    <row r="39" spans="1:9" x14ac:dyDescent="0.3">
      <c r="A39" s="105"/>
      <c r="B39" s="25" t="s">
        <v>72</v>
      </c>
      <c r="C39" s="83" t="s">
        <v>132</v>
      </c>
      <c r="D39" s="84">
        <v>4.3212963889166747E-2</v>
      </c>
      <c r="E39" s="26"/>
      <c r="F39" s="105"/>
      <c r="G39" s="25" t="s">
        <v>45</v>
      </c>
      <c r="H39" s="83" t="s">
        <v>133</v>
      </c>
      <c r="I39" s="84">
        <v>7.3717737395458768E-2</v>
      </c>
    </row>
    <row r="40" spans="1:9" x14ac:dyDescent="0.3">
      <c r="A40" s="105"/>
      <c r="B40" s="25" t="s">
        <v>83</v>
      </c>
      <c r="C40" s="83" t="s">
        <v>134</v>
      </c>
      <c r="D40" s="84">
        <v>3.6861058317495247E-2</v>
      </c>
      <c r="E40" s="26"/>
      <c r="F40" s="105"/>
      <c r="G40" s="25" t="s">
        <v>62</v>
      </c>
      <c r="H40" s="83" t="s">
        <v>135</v>
      </c>
      <c r="I40" s="84">
        <v>6.623184951133787E-2</v>
      </c>
    </row>
    <row r="41" spans="1:9" x14ac:dyDescent="0.3">
      <c r="A41" s="99" t="s">
        <v>29</v>
      </c>
      <c r="B41" s="1" t="s">
        <v>59</v>
      </c>
      <c r="C41" s="85" t="s">
        <v>136</v>
      </c>
      <c r="D41" s="86">
        <v>0.30961990241551712</v>
      </c>
      <c r="E41" s="26"/>
      <c r="F41" s="99" t="s">
        <v>29</v>
      </c>
      <c r="G41" s="1" t="s">
        <v>59</v>
      </c>
      <c r="H41" s="85" t="s">
        <v>137</v>
      </c>
      <c r="I41" s="86">
        <v>0.17348316638135108</v>
      </c>
    </row>
    <row r="42" spans="1:9" x14ac:dyDescent="0.3">
      <c r="A42" s="100"/>
      <c r="B42" s="1" t="s">
        <v>64</v>
      </c>
      <c r="C42" s="85" t="s">
        <v>138</v>
      </c>
      <c r="D42" s="86">
        <v>0.10470754773808806</v>
      </c>
      <c r="E42" s="26"/>
      <c r="F42" s="100"/>
      <c r="G42" s="1" t="s">
        <v>64</v>
      </c>
      <c r="H42" s="85" t="s">
        <v>139</v>
      </c>
      <c r="I42" s="86">
        <v>0.13182144330129889</v>
      </c>
    </row>
    <row r="43" spans="1:9" x14ac:dyDescent="0.3">
      <c r="A43" s="100"/>
      <c r="B43" s="1" t="s">
        <v>62</v>
      </c>
      <c r="C43" s="85" t="s">
        <v>140</v>
      </c>
      <c r="D43" s="86">
        <v>6.8331727004397325E-2</v>
      </c>
      <c r="E43" s="26"/>
      <c r="F43" s="100"/>
      <c r="G43" s="1" t="s">
        <v>45</v>
      </c>
      <c r="H43" s="85" t="s">
        <v>141</v>
      </c>
      <c r="I43" s="86">
        <v>7.0978604157132613E-2</v>
      </c>
    </row>
    <row r="44" spans="1:9" x14ac:dyDescent="0.3">
      <c r="A44" s="100"/>
      <c r="B44" s="1" t="s">
        <v>72</v>
      </c>
      <c r="C44" s="85" t="s">
        <v>142</v>
      </c>
      <c r="D44" s="86">
        <v>5.0102403469670501E-2</v>
      </c>
      <c r="E44" s="26"/>
      <c r="F44" s="100"/>
      <c r="G44" s="1" t="s">
        <v>70</v>
      </c>
      <c r="H44" s="85" t="s">
        <v>143</v>
      </c>
      <c r="I44" s="86">
        <v>6.9252586202026026E-2</v>
      </c>
    </row>
    <row r="45" spans="1:9" x14ac:dyDescent="0.3">
      <c r="A45" s="100"/>
      <c r="B45" s="1" t="s">
        <v>83</v>
      </c>
      <c r="C45" s="85" t="s">
        <v>144</v>
      </c>
      <c r="D45" s="86">
        <v>3.3431720980663812E-2</v>
      </c>
      <c r="E45" s="26"/>
      <c r="F45" s="100"/>
      <c r="G45" s="1" t="s">
        <v>62</v>
      </c>
      <c r="H45" s="85" t="s">
        <v>145</v>
      </c>
      <c r="I45" s="86">
        <v>6.7981378215449986E-2</v>
      </c>
    </row>
    <row r="46" spans="1:9" x14ac:dyDescent="0.3">
      <c r="A46" s="104" t="s">
        <v>30</v>
      </c>
      <c r="B46" s="25" t="s">
        <v>59</v>
      </c>
      <c r="C46" s="83" t="s">
        <v>146</v>
      </c>
      <c r="D46" s="84">
        <v>0.30165132390623517</v>
      </c>
      <c r="E46" s="26"/>
      <c r="F46" s="104" t="s">
        <v>30</v>
      </c>
      <c r="G46" s="25" t="s">
        <v>59</v>
      </c>
      <c r="H46" s="83" t="s">
        <v>147</v>
      </c>
      <c r="I46" s="84">
        <v>0.1508262761516877</v>
      </c>
    </row>
    <row r="47" spans="1:9" x14ac:dyDescent="0.3">
      <c r="A47" s="105"/>
      <c r="B47" s="25" t="s">
        <v>62</v>
      </c>
      <c r="C47" s="83" t="s">
        <v>148</v>
      </c>
      <c r="D47" s="84">
        <v>9.7703331118914299E-2</v>
      </c>
      <c r="E47" s="26"/>
      <c r="F47" s="105"/>
      <c r="G47" s="25" t="s">
        <v>64</v>
      </c>
      <c r="H47" s="83" t="s">
        <v>149</v>
      </c>
      <c r="I47" s="84">
        <v>0.11890902411370877</v>
      </c>
    </row>
    <row r="48" spans="1:9" x14ac:dyDescent="0.3">
      <c r="A48" s="105"/>
      <c r="B48" s="25" t="s">
        <v>64</v>
      </c>
      <c r="C48" s="83" t="s">
        <v>150</v>
      </c>
      <c r="D48" s="84">
        <v>8.4369365094429161E-2</v>
      </c>
      <c r="E48" s="26"/>
      <c r="F48" s="105"/>
      <c r="G48" s="25" t="s">
        <v>62</v>
      </c>
      <c r="H48" s="83" t="s">
        <v>151</v>
      </c>
      <c r="I48" s="84">
        <v>9.319913603628141E-2</v>
      </c>
    </row>
    <row r="49" spans="1:9" x14ac:dyDescent="0.3">
      <c r="A49" s="105"/>
      <c r="B49" s="25" t="s">
        <v>152</v>
      </c>
      <c r="C49" s="83" t="s">
        <v>153</v>
      </c>
      <c r="D49" s="84">
        <v>3.6846350953781914E-2</v>
      </c>
      <c r="E49" s="26"/>
      <c r="F49" s="105"/>
      <c r="G49" s="25" t="s">
        <v>70</v>
      </c>
      <c r="H49" s="83" t="s">
        <v>154</v>
      </c>
      <c r="I49" s="84">
        <v>7.2062428346117549E-2</v>
      </c>
    </row>
    <row r="50" spans="1:9" x14ac:dyDescent="0.3">
      <c r="A50" s="105"/>
      <c r="B50" s="25" t="s">
        <v>72</v>
      </c>
      <c r="C50" s="83" t="s">
        <v>155</v>
      </c>
      <c r="D50" s="84">
        <v>3.2741767106387015E-2</v>
      </c>
      <c r="E50" s="26"/>
      <c r="F50" s="105"/>
      <c r="G50" s="25" t="s">
        <v>45</v>
      </c>
      <c r="H50" s="83" t="s">
        <v>156</v>
      </c>
      <c r="I50" s="84">
        <v>6.905375703870735E-2</v>
      </c>
    </row>
    <row r="52" spans="1:9" x14ac:dyDescent="0.3">
      <c r="A52" s="40" t="s">
        <v>157</v>
      </c>
      <c r="B52" s="40"/>
      <c r="C52" s="40"/>
      <c r="D52" s="40"/>
      <c r="F52" s="40" t="s">
        <v>158</v>
      </c>
      <c r="G52" s="41"/>
      <c r="H52" s="42"/>
      <c r="I52" s="42"/>
    </row>
    <row r="53" spans="1:9" s="24" customFormat="1" x14ac:dyDescent="0.3">
      <c r="A53" s="38"/>
      <c r="B53" s="38" t="s">
        <v>56</v>
      </c>
      <c r="C53" s="39" t="s">
        <v>57</v>
      </c>
      <c r="D53" s="39" t="s">
        <v>58</v>
      </c>
      <c r="F53" s="38"/>
      <c r="G53" s="38" t="s">
        <v>56</v>
      </c>
      <c r="H53" s="39" t="s">
        <v>57</v>
      </c>
      <c r="I53" s="39" t="s">
        <v>58</v>
      </c>
    </row>
    <row r="54" spans="1:9" x14ac:dyDescent="0.3">
      <c r="A54" s="104" t="s">
        <v>22</v>
      </c>
      <c r="B54" s="25" t="s">
        <v>59</v>
      </c>
      <c r="C54" s="83" t="s">
        <v>159</v>
      </c>
      <c r="D54" s="84">
        <v>0.21328001683678838</v>
      </c>
      <c r="F54" s="104" t="s">
        <v>22</v>
      </c>
      <c r="G54" s="25" t="s">
        <v>59</v>
      </c>
      <c r="H54" s="83" t="s">
        <v>160</v>
      </c>
      <c r="I54" s="84">
        <v>0.1448292978020444</v>
      </c>
    </row>
    <row r="55" spans="1:9" x14ac:dyDescent="0.3">
      <c r="A55" s="105"/>
      <c r="B55" s="25" t="s">
        <v>62</v>
      </c>
      <c r="C55" s="83" t="s">
        <v>161</v>
      </c>
      <c r="D55" s="84">
        <v>9.6979901083868253E-2</v>
      </c>
      <c r="F55" s="105"/>
      <c r="G55" s="25" t="s">
        <v>70</v>
      </c>
      <c r="H55" s="83" t="s">
        <v>162</v>
      </c>
      <c r="I55" s="84">
        <v>8.5451922629480842E-2</v>
      </c>
    </row>
    <row r="56" spans="1:9" x14ac:dyDescent="0.3">
      <c r="A56" s="105"/>
      <c r="B56" s="25" t="s">
        <v>64</v>
      </c>
      <c r="C56" s="83" t="s">
        <v>163</v>
      </c>
      <c r="D56" s="84">
        <v>7.1850994422813855E-2</v>
      </c>
      <c r="F56" s="105"/>
      <c r="G56" s="25" t="s">
        <v>64</v>
      </c>
      <c r="H56" s="83" t="s">
        <v>164</v>
      </c>
      <c r="I56" s="84">
        <v>8.1853293831143648E-2</v>
      </c>
    </row>
    <row r="57" spans="1:9" x14ac:dyDescent="0.3">
      <c r="A57" s="105"/>
      <c r="B57" s="25" t="s">
        <v>68</v>
      </c>
      <c r="C57" s="83" t="s">
        <v>165</v>
      </c>
      <c r="D57" s="84">
        <v>4.9900031568978216E-2</v>
      </c>
      <c r="F57" s="105"/>
      <c r="G57" s="25" t="s">
        <v>62</v>
      </c>
      <c r="H57" s="83" t="s">
        <v>166</v>
      </c>
      <c r="I57" s="84">
        <v>8.0022956769920425E-2</v>
      </c>
    </row>
    <row r="58" spans="1:9" x14ac:dyDescent="0.3">
      <c r="A58" s="105"/>
      <c r="B58" s="25" t="s">
        <v>70</v>
      </c>
      <c r="C58" s="83" t="s">
        <v>167</v>
      </c>
      <c r="D58" s="84">
        <v>3.4157634431232244E-2</v>
      </c>
      <c r="F58" s="105"/>
      <c r="G58" s="25" t="s">
        <v>45</v>
      </c>
      <c r="H58" s="83" t="s">
        <v>168</v>
      </c>
      <c r="I58" s="84">
        <v>4.5448199910034279E-2</v>
      </c>
    </row>
    <row r="59" spans="1:9" x14ac:dyDescent="0.3">
      <c r="A59" s="99" t="s">
        <v>23</v>
      </c>
      <c r="B59" s="1" t="s">
        <v>59</v>
      </c>
      <c r="C59" s="85" t="s">
        <v>169</v>
      </c>
      <c r="D59" s="86">
        <v>0.33610698365527492</v>
      </c>
      <c r="F59" s="99" t="s">
        <v>23</v>
      </c>
      <c r="G59" s="1" t="s">
        <v>59</v>
      </c>
      <c r="H59" s="85" t="s">
        <v>170</v>
      </c>
      <c r="I59" s="86">
        <v>0.17163738424237371</v>
      </c>
    </row>
    <row r="60" spans="1:9" x14ac:dyDescent="0.3">
      <c r="A60" s="100"/>
      <c r="B60" s="1" t="s">
        <v>64</v>
      </c>
      <c r="C60" s="85" t="s">
        <v>171</v>
      </c>
      <c r="D60" s="86">
        <v>0.10116932618386201</v>
      </c>
      <c r="F60" s="100"/>
      <c r="G60" s="1" t="s">
        <v>64</v>
      </c>
      <c r="H60" s="85" t="s">
        <v>172</v>
      </c>
      <c r="I60" s="86">
        <v>0.12325712261103354</v>
      </c>
    </row>
    <row r="61" spans="1:9" x14ac:dyDescent="0.3">
      <c r="A61" s="100"/>
      <c r="B61" s="1" t="s">
        <v>62</v>
      </c>
      <c r="C61" s="85" t="s">
        <v>173</v>
      </c>
      <c r="D61" s="86">
        <v>6.1644809096194846E-2</v>
      </c>
      <c r="F61" s="100"/>
      <c r="G61" s="1" t="s">
        <v>45</v>
      </c>
      <c r="H61" s="85" t="s">
        <v>174</v>
      </c>
      <c r="I61" s="86">
        <v>8.2445829251856631E-2</v>
      </c>
    </row>
    <row r="62" spans="1:9" x14ac:dyDescent="0.3">
      <c r="A62" s="100"/>
      <c r="B62" s="1" t="s">
        <v>72</v>
      </c>
      <c r="C62" s="85" t="s">
        <v>175</v>
      </c>
      <c r="D62" s="86">
        <v>3.9589120744234124E-2</v>
      </c>
      <c r="F62" s="100"/>
      <c r="G62" s="1" t="s">
        <v>70</v>
      </c>
      <c r="H62" s="85" t="s">
        <v>176</v>
      </c>
      <c r="I62" s="86">
        <v>7.4539922052479113E-2</v>
      </c>
    </row>
    <row r="63" spans="1:9" x14ac:dyDescent="0.3">
      <c r="A63" s="100"/>
      <c r="B63" s="1" t="s">
        <v>83</v>
      </c>
      <c r="C63" s="85" t="s">
        <v>177</v>
      </c>
      <c r="D63" s="86">
        <v>3.1681633180438012E-2</v>
      </c>
      <c r="F63" s="100"/>
      <c r="G63" s="1" t="s">
        <v>62</v>
      </c>
      <c r="H63" s="85" t="s">
        <v>178</v>
      </c>
      <c r="I63" s="86">
        <v>6.7387785442848902E-2</v>
      </c>
    </row>
    <row r="64" spans="1:9" x14ac:dyDescent="0.3">
      <c r="A64" s="104" t="s">
        <v>24</v>
      </c>
      <c r="B64" s="25" t="s">
        <v>59</v>
      </c>
      <c r="C64" s="83" t="s">
        <v>179</v>
      </c>
      <c r="D64" s="84">
        <v>0.24627364992865722</v>
      </c>
      <c r="F64" s="104" t="s">
        <v>24</v>
      </c>
      <c r="G64" s="25" t="s">
        <v>59</v>
      </c>
      <c r="H64" s="83" t="s">
        <v>180</v>
      </c>
      <c r="I64" s="84">
        <v>0.15053640783291236</v>
      </c>
    </row>
    <row r="65" spans="1:9" x14ac:dyDescent="0.3">
      <c r="A65" s="105"/>
      <c r="B65" s="25" t="s">
        <v>62</v>
      </c>
      <c r="C65" s="83" t="s">
        <v>181</v>
      </c>
      <c r="D65" s="84">
        <v>9.1447734363033967E-2</v>
      </c>
      <c r="F65" s="105"/>
      <c r="G65" s="25" t="s">
        <v>64</v>
      </c>
      <c r="H65" s="83" t="s">
        <v>182</v>
      </c>
      <c r="I65" s="84">
        <v>8.8432602732284968E-2</v>
      </c>
    </row>
    <row r="66" spans="1:9" x14ac:dyDescent="0.3">
      <c r="A66" s="105"/>
      <c r="B66" s="25" t="s">
        <v>64</v>
      </c>
      <c r="C66" s="83" t="s">
        <v>95</v>
      </c>
      <c r="D66" s="84">
        <v>7.6179574200517533E-2</v>
      </c>
      <c r="F66" s="105"/>
      <c r="G66" s="25" t="s">
        <v>70</v>
      </c>
      <c r="H66" s="83" t="s">
        <v>183</v>
      </c>
      <c r="I66" s="84">
        <v>8.7845949102365622E-2</v>
      </c>
    </row>
    <row r="67" spans="1:9" x14ac:dyDescent="0.3">
      <c r="A67" s="105"/>
      <c r="B67" s="25" t="s">
        <v>68</v>
      </c>
      <c r="C67" s="83" t="s">
        <v>184</v>
      </c>
      <c r="D67" s="84">
        <v>4.3861699812170994E-2</v>
      </c>
      <c r="F67" s="105"/>
      <c r="G67" s="25" t="s">
        <v>62</v>
      </c>
      <c r="H67" s="83" t="s">
        <v>185</v>
      </c>
      <c r="I67" s="84">
        <v>8.07409218066759E-2</v>
      </c>
    </row>
    <row r="68" spans="1:9" x14ac:dyDescent="0.3">
      <c r="A68" s="105"/>
      <c r="B68" s="25" t="s">
        <v>72</v>
      </c>
      <c r="C68" s="83" t="s">
        <v>186</v>
      </c>
      <c r="D68" s="84">
        <v>3.2221138421107791E-2</v>
      </c>
      <c r="F68" s="105"/>
      <c r="G68" s="25" t="s">
        <v>45</v>
      </c>
      <c r="H68" s="83" t="s">
        <v>187</v>
      </c>
      <c r="I68" s="84">
        <v>5.4216572965045222E-2</v>
      </c>
    </row>
    <row r="69" spans="1:9" x14ac:dyDescent="0.3">
      <c r="A69" s="99" t="s">
        <v>25</v>
      </c>
      <c r="B69" s="1" t="s">
        <v>59</v>
      </c>
      <c r="C69" s="85" t="s">
        <v>188</v>
      </c>
      <c r="D69" s="86">
        <v>0.32231574733470986</v>
      </c>
      <c r="F69" s="99" t="s">
        <v>25</v>
      </c>
      <c r="G69" s="1" t="s">
        <v>59</v>
      </c>
      <c r="H69" s="85" t="s">
        <v>189</v>
      </c>
      <c r="I69" s="86">
        <v>0.16722377494698107</v>
      </c>
    </row>
    <row r="70" spans="1:9" x14ac:dyDescent="0.3">
      <c r="A70" s="100"/>
      <c r="B70" s="1" t="s">
        <v>64</v>
      </c>
      <c r="C70" s="85" t="s">
        <v>190</v>
      </c>
      <c r="D70" s="86">
        <v>9.261093084994311E-2</v>
      </c>
      <c r="F70" s="100"/>
      <c r="G70" s="1" t="s">
        <v>64</v>
      </c>
      <c r="H70" s="85" t="s">
        <v>191</v>
      </c>
      <c r="I70" s="86">
        <v>0.11045139815452031</v>
      </c>
    </row>
    <row r="71" spans="1:9" x14ac:dyDescent="0.3">
      <c r="A71" s="100"/>
      <c r="B71" s="1" t="s">
        <v>62</v>
      </c>
      <c r="C71" s="85" t="s">
        <v>192</v>
      </c>
      <c r="D71" s="86">
        <v>7.5218069192195869E-2</v>
      </c>
      <c r="F71" s="100"/>
      <c r="G71" s="1" t="s">
        <v>70</v>
      </c>
      <c r="H71" s="85" t="s">
        <v>193</v>
      </c>
      <c r="I71" s="86">
        <v>7.5887276864088984E-2</v>
      </c>
    </row>
    <row r="72" spans="1:9" x14ac:dyDescent="0.3">
      <c r="A72" s="100"/>
      <c r="B72" s="1" t="s">
        <v>72</v>
      </c>
      <c r="C72" s="85" t="s">
        <v>194</v>
      </c>
      <c r="D72" s="86">
        <v>3.8088365429185457E-2</v>
      </c>
      <c r="F72" s="100"/>
      <c r="G72" s="1" t="s">
        <v>62</v>
      </c>
      <c r="H72" s="85" t="s">
        <v>195</v>
      </c>
      <c r="I72" s="86">
        <v>7.4658361539866019E-2</v>
      </c>
    </row>
    <row r="73" spans="1:9" x14ac:dyDescent="0.3">
      <c r="A73" s="100"/>
      <c r="B73" s="1" t="s">
        <v>68</v>
      </c>
      <c r="C73" s="85" t="s">
        <v>196</v>
      </c>
      <c r="D73" s="86">
        <v>3.2910538957481777E-2</v>
      </c>
      <c r="F73" s="100"/>
      <c r="G73" s="1" t="s">
        <v>45</v>
      </c>
      <c r="H73" s="85" t="s">
        <v>197</v>
      </c>
      <c r="I73" s="86">
        <v>7.4131683543770449E-2</v>
      </c>
    </row>
    <row r="74" spans="1:9" x14ac:dyDescent="0.3">
      <c r="A74" s="104" t="s">
        <v>26</v>
      </c>
      <c r="B74" s="25" t="s">
        <v>59</v>
      </c>
      <c r="C74" s="83" t="s">
        <v>198</v>
      </c>
      <c r="D74" s="84">
        <v>0.24798633840899387</v>
      </c>
      <c r="F74" s="104" t="s">
        <v>26</v>
      </c>
      <c r="G74" s="25" t="s">
        <v>59</v>
      </c>
      <c r="H74" s="83" t="s">
        <v>199</v>
      </c>
      <c r="I74" s="84">
        <v>0.15494311082152179</v>
      </c>
    </row>
    <row r="75" spans="1:9" x14ac:dyDescent="0.3">
      <c r="A75" s="105"/>
      <c r="B75" s="25" t="s">
        <v>62</v>
      </c>
      <c r="C75" s="83" t="s">
        <v>200</v>
      </c>
      <c r="D75" s="84">
        <v>8.366301408851573E-2</v>
      </c>
      <c r="F75" s="105"/>
      <c r="G75" s="25" t="s">
        <v>64</v>
      </c>
      <c r="H75" s="83" t="s">
        <v>201</v>
      </c>
      <c r="I75" s="84">
        <v>9.1806226261809815E-2</v>
      </c>
    </row>
    <row r="76" spans="1:9" x14ac:dyDescent="0.3">
      <c r="A76" s="105"/>
      <c r="B76" s="25" t="s">
        <v>64</v>
      </c>
      <c r="C76" s="83" t="s">
        <v>202</v>
      </c>
      <c r="D76" s="84">
        <v>8.3307243489398039E-2</v>
      </c>
      <c r="F76" s="105"/>
      <c r="G76" s="25" t="s">
        <v>70</v>
      </c>
      <c r="H76" s="83" t="s">
        <v>203</v>
      </c>
      <c r="I76" s="84">
        <v>8.90927011122154E-2</v>
      </c>
    </row>
    <row r="77" spans="1:9" x14ac:dyDescent="0.3">
      <c r="A77" s="105"/>
      <c r="B77" s="25" t="s">
        <v>68</v>
      </c>
      <c r="C77" s="83" t="s">
        <v>204</v>
      </c>
      <c r="D77" s="84">
        <v>4.2770741425928564E-2</v>
      </c>
      <c r="F77" s="105"/>
      <c r="G77" s="25" t="s">
        <v>62</v>
      </c>
      <c r="H77" s="83" t="s">
        <v>205</v>
      </c>
      <c r="I77" s="84">
        <v>7.6019943172680002E-2</v>
      </c>
    </row>
    <row r="78" spans="1:9" x14ac:dyDescent="0.3">
      <c r="A78" s="105"/>
      <c r="B78" s="25" t="s">
        <v>72</v>
      </c>
      <c r="C78" s="83" t="s">
        <v>206</v>
      </c>
      <c r="D78" s="84">
        <v>3.5797637683221861E-2</v>
      </c>
      <c r="F78" s="105"/>
      <c r="G78" s="25" t="s">
        <v>45</v>
      </c>
      <c r="H78" s="83" t="s">
        <v>207</v>
      </c>
      <c r="I78" s="84">
        <v>5.7107745093591872E-2</v>
      </c>
    </row>
    <row r="79" spans="1:9" x14ac:dyDescent="0.3">
      <c r="A79" s="99" t="s">
        <v>27</v>
      </c>
      <c r="B79" s="1" t="s">
        <v>59</v>
      </c>
      <c r="C79" s="85" t="s">
        <v>208</v>
      </c>
      <c r="D79" s="86">
        <v>0.32816096263779371</v>
      </c>
      <c r="F79" s="99" t="s">
        <v>27</v>
      </c>
      <c r="G79" s="1" t="s">
        <v>59</v>
      </c>
      <c r="H79" s="85" t="s">
        <v>209</v>
      </c>
      <c r="I79" s="86">
        <v>0.16703963506476741</v>
      </c>
    </row>
    <row r="80" spans="1:9" x14ac:dyDescent="0.3">
      <c r="A80" s="100"/>
      <c r="B80" s="1" t="s">
        <v>64</v>
      </c>
      <c r="C80" s="85" t="s">
        <v>210</v>
      </c>
      <c r="D80" s="86">
        <v>8.8395622905334079E-2</v>
      </c>
      <c r="F80" s="100"/>
      <c r="G80" s="1" t="s">
        <v>64</v>
      </c>
      <c r="H80" s="85" t="s">
        <v>211</v>
      </c>
      <c r="I80" s="86">
        <v>0.11136627713638515</v>
      </c>
    </row>
    <row r="81" spans="1:9" x14ac:dyDescent="0.3">
      <c r="A81" s="100"/>
      <c r="B81" s="1" t="s">
        <v>62</v>
      </c>
      <c r="C81" s="85" t="s">
        <v>212</v>
      </c>
      <c r="D81" s="86">
        <v>7.9985232785523511E-2</v>
      </c>
      <c r="F81" s="100"/>
      <c r="G81" s="1" t="s">
        <v>62</v>
      </c>
      <c r="H81" s="85" t="s">
        <v>213</v>
      </c>
      <c r="I81" s="86">
        <v>7.620292089027296E-2</v>
      </c>
    </row>
    <row r="82" spans="1:9" x14ac:dyDescent="0.3">
      <c r="A82" s="100"/>
      <c r="B82" s="1" t="s">
        <v>72</v>
      </c>
      <c r="C82" s="85" t="s">
        <v>214</v>
      </c>
      <c r="D82" s="86">
        <v>3.5747042230772338E-2</v>
      </c>
      <c r="F82" s="100"/>
      <c r="G82" s="1" t="s">
        <v>45</v>
      </c>
      <c r="H82" s="85" t="s">
        <v>215</v>
      </c>
      <c r="I82" s="86">
        <v>7.5035112496919104E-2</v>
      </c>
    </row>
    <row r="83" spans="1:9" x14ac:dyDescent="0.3">
      <c r="A83" s="100"/>
      <c r="B83" s="1" t="s">
        <v>68</v>
      </c>
      <c r="C83" s="85" t="s">
        <v>216</v>
      </c>
      <c r="D83" s="86">
        <v>3.2753220233391209E-2</v>
      </c>
      <c r="F83" s="100"/>
      <c r="G83" s="1" t="s">
        <v>70</v>
      </c>
      <c r="H83" s="85" t="s">
        <v>217</v>
      </c>
      <c r="I83" s="86">
        <v>7.392990019835137E-2</v>
      </c>
    </row>
    <row r="84" spans="1:9" x14ac:dyDescent="0.3">
      <c r="A84" s="104" t="s">
        <v>28</v>
      </c>
      <c r="B84" s="25" t="s">
        <v>59</v>
      </c>
      <c r="C84" s="83" t="s">
        <v>218</v>
      </c>
      <c r="D84" s="84">
        <v>0.24478615647291735</v>
      </c>
      <c r="F84" s="104" t="s">
        <v>28</v>
      </c>
      <c r="G84" s="25" t="s">
        <v>59</v>
      </c>
      <c r="H84" s="83" t="s">
        <v>219</v>
      </c>
      <c r="I84" s="84">
        <v>0.16516725648204736</v>
      </c>
    </row>
    <row r="85" spans="1:9" x14ac:dyDescent="0.3">
      <c r="A85" s="105"/>
      <c r="B85" s="25" t="s">
        <v>64</v>
      </c>
      <c r="C85" s="83" t="s">
        <v>220</v>
      </c>
      <c r="D85" s="84">
        <v>8.6323022615144504E-2</v>
      </c>
      <c r="F85" s="105"/>
      <c r="G85" s="25" t="s">
        <v>64</v>
      </c>
      <c r="H85" s="83" t="s">
        <v>221</v>
      </c>
      <c r="I85" s="84">
        <v>0.10021176504029221</v>
      </c>
    </row>
    <row r="86" spans="1:9" x14ac:dyDescent="0.3">
      <c r="A86" s="105"/>
      <c r="B86" s="25" t="s">
        <v>62</v>
      </c>
      <c r="C86" s="83" t="s">
        <v>222</v>
      </c>
      <c r="D86" s="84">
        <v>7.7953638430033417E-2</v>
      </c>
      <c r="F86" s="105"/>
      <c r="G86" s="25" t="s">
        <v>70</v>
      </c>
      <c r="H86" s="83" t="s">
        <v>223</v>
      </c>
      <c r="I86" s="84">
        <v>8.2820501887882966E-2</v>
      </c>
    </row>
    <row r="87" spans="1:9" x14ac:dyDescent="0.3">
      <c r="A87" s="105"/>
      <c r="B87" s="25" t="s">
        <v>68</v>
      </c>
      <c r="C87" s="83" t="s">
        <v>224</v>
      </c>
      <c r="D87" s="84">
        <v>3.8390229084395655E-2</v>
      </c>
      <c r="F87" s="105"/>
      <c r="G87" s="25" t="s">
        <v>45</v>
      </c>
      <c r="H87" s="83" t="s">
        <v>225</v>
      </c>
      <c r="I87" s="84">
        <v>7.0924707342609306E-2</v>
      </c>
    </row>
    <row r="88" spans="1:9" x14ac:dyDescent="0.3">
      <c r="A88" s="105"/>
      <c r="B88" s="25" t="s">
        <v>72</v>
      </c>
      <c r="C88" s="83" t="s">
        <v>226</v>
      </c>
      <c r="D88" s="84">
        <v>3.6829480343993214E-2</v>
      </c>
      <c r="F88" s="105"/>
      <c r="G88" s="25" t="s">
        <v>62</v>
      </c>
      <c r="H88" s="83" t="s">
        <v>227</v>
      </c>
      <c r="I88" s="84">
        <v>6.8773894629126933E-2</v>
      </c>
    </row>
    <row r="89" spans="1:9" x14ac:dyDescent="0.3">
      <c r="A89" s="99" t="s">
        <v>29</v>
      </c>
      <c r="B89" s="1" t="s">
        <v>59</v>
      </c>
      <c r="C89" s="85" t="s">
        <v>228</v>
      </c>
      <c r="D89" s="86">
        <v>0.30483107178544017</v>
      </c>
      <c r="F89" s="99" t="s">
        <v>29</v>
      </c>
      <c r="G89" s="1" t="s">
        <v>59</v>
      </c>
      <c r="H89" s="85" t="s">
        <v>229</v>
      </c>
      <c r="I89" s="86">
        <v>0.16733388832035123</v>
      </c>
    </row>
    <row r="90" spans="1:9" x14ac:dyDescent="0.3">
      <c r="A90" s="100"/>
      <c r="B90" s="1" t="s">
        <v>64</v>
      </c>
      <c r="C90" s="85" t="s">
        <v>230</v>
      </c>
      <c r="D90" s="86">
        <v>9.2305909953224338E-2</v>
      </c>
      <c r="F90" s="100"/>
      <c r="G90" s="1" t="s">
        <v>64</v>
      </c>
      <c r="H90" s="85" t="s">
        <v>231</v>
      </c>
      <c r="I90" s="86">
        <v>0.11096117035096743</v>
      </c>
    </row>
    <row r="91" spans="1:9" x14ac:dyDescent="0.3">
      <c r="A91" s="100"/>
      <c r="B91" s="1" t="s">
        <v>62</v>
      </c>
      <c r="C91" s="85" t="s">
        <v>232</v>
      </c>
      <c r="D91" s="86">
        <v>7.414594586766686E-2</v>
      </c>
      <c r="F91" s="100"/>
      <c r="G91" s="1" t="s">
        <v>70</v>
      </c>
      <c r="H91" s="85" t="s">
        <v>233</v>
      </c>
      <c r="I91" s="86">
        <v>7.6821515114558869E-2</v>
      </c>
    </row>
    <row r="92" spans="1:9" x14ac:dyDescent="0.3">
      <c r="A92" s="100"/>
      <c r="B92" s="1" t="s">
        <v>72</v>
      </c>
      <c r="C92" s="85" t="s">
        <v>234</v>
      </c>
      <c r="D92" s="86">
        <v>3.9867927533923216E-2</v>
      </c>
      <c r="F92" s="100"/>
      <c r="G92" s="1" t="s">
        <v>62</v>
      </c>
      <c r="H92" s="85" t="s">
        <v>235</v>
      </c>
      <c r="I92" s="86">
        <v>7.0612376917488978E-2</v>
      </c>
    </row>
    <row r="93" spans="1:9" x14ac:dyDescent="0.3">
      <c r="A93" s="100"/>
      <c r="B93" s="1" t="s">
        <v>68</v>
      </c>
      <c r="C93" s="85" t="s">
        <v>236</v>
      </c>
      <c r="D93" s="86">
        <v>3.7442254500166541E-2</v>
      </c>
      <c r="F93" s="100"/>
      <c r="G93" s="1" t="s">
        <v>45</v>
      </c>
      <c r="H93" s="85" t="s">
        <v>237</v>
      </c>
      <c r="I93" s="86">
        <v>6.9795803661853839E-2</v>
      </c>
    </row>
    <row r="94" spans="1:9" x14ac:dyDescent="0.3">
      <c r="A94" s="104" t="s">
        <v>30</v>
      </c>
      <c r="B94" s="25" t="s">
        <v>59</v>
      </c>
      <c r="C94" s="83" t="s">
        <v>238</v>
      </c>
      <c r="D94" s="84">
        <v>0.32708779443254821</v>
      </c>
      <c r="F94" s="104" t="s">
        <v>30</v>
      </c>
      <c r="G94" s="25" t="s">
        <v>59</v>
      </c>
      <c r="H94" s="83" t="s">
        <v>239</v>
      </c>
      <c r="I94" s="84">
        <v>0.15102699565990063</v>
      </c>
    </row>
    <row r="95" spans="1:9" x14ac:dyDescent="0.3">
      <c r="A95" s="105"/>
      <c r="B95" s="25" t="s">
        <v>62</v>
      </c>
      <c r="C95" s="83" t="s">
        <v>240</v>
      </c>
      <c r="D95" s="84">
        <v>9.8874558039938248E-2</v>
      </c>
      <c r="F95" s="105"/>
      <c r="G95" s="25" t="s">
        <v>62</v>
      </c>
      <c r="H95" s="83" t="s">
        <v>241</v>
      </c>
      <c r="I95" s="84">
        <v>9.8159991295622417E-2</v>
      </c>
    </row>
    <row r="96" spans="1:9" x14ac:dyDescent="0.3">
      <c r="A96" s="105"/>
      <c r="B96" s="25" t="s">
        <v>64</v>
      </c>
      <c r="C96" s="83" t="s">
        <v>242</v>
      </c>
      <c r="D96" s="84">
        <v>7.5232807131118962E-2</v>
      </c>
      <c r="F96" s="105"/>
      <c r="G96" s="25" t="s">
        <v>64</v>
      </c>
      <c r="H96" s="83" t="s">
        <v>243</v>
      </c>
      <c r="I96" s="84">
        <v>9.7851711256452728E-2</v>
      </c>
    </row>
    <row r="97" spans="1:9" x14ac:dyDescent="0.3">
      <c r="A97" s="105"/>
      <c r="B97" s="25" t="s">
        <v>68</v>
      </c>
      <c r="C97" s="83" t="s">
        <v>244</v>
      </c>
      <c r="D97" s="84">
        <v>3.5518649469647924E-2</v>
      </c>
      <c r="F97" s="105"/>
      <c r="G97" s="25" t="s">
        <v>70</v>
      </c>
      <c r="H97" s="83" t="s">
        <v>245</v>
      </c>
      <c r="I97" s="84">
        <v>7.8218504055998159E-2</v>
      </c>
    </row>
    <row r="98" spans="1:9" x14ac:dyDescent="0.3">
      <c r="A98" s="105"/>
      <c r="B98" s="25" t="s">
        <v>152</v>
      </c>
      <c r="C98" s="83" t="s">
        <v>246</v>
      </c>
      <c r="D98" s="84">
        <v>2.7600717095762162E-2</v>
      </c>
      <c r="F98" s="105"/>
      <c r="G98" s="25" t="s">
        <v>45</v>
      </c>
      <c r="H98" s="83" t="s">
        <v>247</v>
      </c>
      <c r="I98" s="84">
        <v>6.5947749555714058E-2</v>
      </c>
    </row>
    <row r="100" spans="1:9" x14ac:dyDescent="0.3">
      <c r="A100" s="40" t="s">
        <v>248</v>
      </c>
      <c r="B100" s="41"/>
      <c r="C100" s="42"/>
      <c r="D100" s="42"/>
      <c r="F100" s="40" t="s">
        <v>249</v>
      </c>
      <c r="G100" s="41"/>
      <c r="H100" s="42"/>
      <c r="I100" s="42"/>
    </row>
    <row r="101" spans="1:9" s="24" customFormat="1" x14ac:dyDescent="0.3">
      <c r="A101" s="38"/>
      <c r="B101" s="38" t="s">
        <v>56</v>
      </c>
      <c r="C101" s="39" t="s">
        <v>57</v>
      </c>
      <c r="D101" s="39" t="s">
        <v>58</v>
      </c>
      <c r="F101" s="38"/>
      <c r="G101" s="38" t="s">
        <v>56</v>
      </c>
      <c r="H101" s="39" t="s">
        <v>57</v>
      </c>
      <c r="I101" s="39" t="s">
        <v>58</v>
      </c>
    </row>
    <row r="102" spans="1:9" x14ac:dyDescent="0.3">
      <c r="A102" s="104" t="s">
        <v>22</v>
      </c>
      <c r="B102" s="25" t="s">
        <v>59</v>
      </c>
      <c r="C102" s="83" t="s">
        <v>250</v>
      </c>
      <c r="D102" s="84">
        <v>0.34551495016611294</v>
      </c>
      <c r="F102" s="104" t="s">
        <v>22</v>
      </c>
      <c r="G102" s="25" t="s">
        <v>64</v>
      </c>
      <c r="H102" s="83" t="s">
        <v>251</v>
      </c>
      <c r="I102" s="84">
        <v>0.1237011737540889</v>
      </c>
    </row>
    <row r="103" spans="1:9" x14ac:dyDescent="0.3">
      <c r="A103" s="105"/>
      <c r="B103" s="25" t="s">
        <v>62</v>
      </c>
      <c r="C103" s="83" t="s">
        <v>252</v>
      </c>
      <c r="D103" s="84">
        <v>0.1102896448458191</v>
      </c>
      <c r="F103" s="105"/>
      <c r="G103" s="25" t="s">
        <v>59</v>
      </c>
      <c r="H103" s="83" t="s">
        <v>253</v>
      </c>
      <c r="I103" s="84">
        <v>0.10544544929767173</v>
      </c>
    </row>
    <row r="104" spans="1:9" x14ac:dyDescent="0.3">
      <c r="A104" s="105"/>
      <c r="B104" s="25" t="s">
        <v>64</v>
      </c>
      <c r="C104" s="83" t="s">
        <v>254</v>
      </c>
      <c r="D104" s="84">
        <v>7.8751579242899258E-2</v>
      </c>
      <c r="F104" s="105"/>
      <c r="G104" s="25" t="s">
        <v>62</v>
      </c>
      <c r="H104" s="83" t="s">
        <v>255</v>
      </c>
      <c r="I104" s="84">
        <v>9.0917837213777178E-2</v>
      </c>
    </row>
    <row r="105" spans="1:9" x14ac:dyDescent="0.3">
      <c r="A105" s="105"/>
      <c r="B105" s="25" t="s">
        <v>68</v>
      </c>
      <c r="C105" s="83" t="s">
        <v>256</v>
      </c>
      <c r="D105" s="84">
        <v>6.1251228300032753E-2</v>
      </c>
      <c r="F105" s="105"/>
      <c r="G105" s="25" t="s">
        <v>42</v>
      </c>
      <c r="H105" s="83" t="s">
        <v>257</v>
      </c>
      <c r="I105" s="84">
        <v>7.9252453338464493E-2</v>
      </c>
    </row>
    <row r="106" spans="1:9" x14ac:dyDescent="0.3">
      <c r="A106" s="105"/>
      <c r="B106" s="25" t="s">
        <v>258</v>
      </c>
      <c r="C106" s="83" t="s">
        <v>259</v>
      </c>
      <c r="D106" s="84">
        <v>4.8102568901782793E-2</v>
      </c>
      <c r="F106" s="105"/>
      <c r="G106" s="25" t="s">
        <v>43</v>
      </c>
      <c r="H106" s="83" t="s">
        <v>260</v>
      </c>
      <c r="I106" s="84">
        <v>7.2108908985953429E-2</v>
      </c>
    </row>
    <row r="107" spans="1:9" x14ac:dyDescent="0.3">
      <c r="A107" s="99" t="s">
        <v>23</v>
      </c>
      <c r="B107" s="1" t="s">
        <v>59</v>
      </c>
      <c r="C107" s="85" t="s">
        <v>111</v>
      </c>
      <c r="D107" s="86">
        <v>0.39901327279077892</v>
      </c>
      <c r="F107" s="99" t="s">
        <v>23</v>
      </c>
      <c r="G107" s="1" t="s">
        <v>64</v>
      </c>
      <c r="H107" s="85" t="s">
        <v>261</v>
      </c>
      <c r="I107" s="86">
        <v>0.18734291208243678</v>
      </c>
    </row>
    <row r="108" spans="1:9" x14ac:dyDescent="0.3">
      <c r="A108" s="100"/>
      <c r="B108" s="1" t="s">
        <v>64</v>
      </c>
      <c r="C108" s="85" t="s">
        <v>262</v>
      </c>
      <c r="D108" s="86">
        <v>0.10731749912679008</v>
      </c>
      <c r="F108" s="100"/>
      <c r="G108" s="1" t="s">
        <v>45</v>
      </c>
      <c r="H108" s="85" t="s">
        <v>263</v>
      </c>
      <c r="I108" s="86">
        <v>8.768873617349518E-2</v>
      </c>
    </row>
    <row r="109" spans="1:9" x14ac:dyDescent="0.3">
      <c r="A109" s="100"/>
      <c r="B109" s="1" t="s">
        <v>62</v>
      </c>
      <c r="C109" s="85" t="s">
        <v>264</v>
      </c>
      <c r="D109" s="86">
        <v>9.8454418442193506E-2</v>
      </c>
      <c r="F109" s="100"/>
      <c r="G109" s="1" t="s">
        <v>70</v>
      </c>
      <c r="H109" s="85" t="s">
        <v>265</v>
      </c>
      <c r="I109" s="86">
        <v>8.2994091095306463E-2</v>
      </c>
    </row>
    <row r="110" spans="1:9" x14ac:dyDescent="0.3">
      <c r="A110" s="100"/>
      <c r="B110" s="1" t="s">
        <v>68</v>
      </c>
      <c r="C110" s="85" t="s">
        <v>266</v>
      </c>
      <c r="D110" s="86">
        <v>3.9010653161019912E-2</v>
      </c>
      <c r="F110" s="100"/>
      <c r="G110" s="1" t="s">
        <v>62</v>
      </c>
      <c r="H110" s="85" t="s">
        <v>267</v>
      </c>
      <c r="I110" s="86">
        <v>8.1717088581899786E-2</v>
      </c>
    </row>
    <row r="111" spans="1:9" x14ac:dyDescent="0.3">
      <c r="A111" s="100"/>
      <c r="B111" s="1" t="s">
        <v>258</v>
      </c>
      <c r="C111" s="85" t="s">
        <v>268</v>
      </c>
      <c r="D111" s="86">
        <v>3.6718477121900107E-2</v>
      </c>
      <c r="F111" s="100"/>
      <c r="G111" s="1" t="s">
        <v>42</v>
      </c>
      <c r="H111" s="85" t="s">
        <v>269</v>
      </c>
      <c r="I111" s="86">
        <v>6.9006115587181255E-2</v>
      </c>
    </row>
    <row r="112" spans="1:9" x14ac:dyDescent="0.3">
      <c r="A112" s="104" t="s">
        <v>24</v>
      </c>
      <c r="B112" s="25" t="s">
        <v>59</v>
      </c>
      <c r="C112" s="83" t="s">
        <v>270</v>
      </c>
      <c r="D112" s="84">
        <v>0.37257197506842993</v>
      </c>
      <c r="F112" s="104" t="s">
        <v>24</v>
      </c>
      <c r="G112" s="25" t="s">
        <v>64</v>
      </c>
      <c r="H112" s="83" t="s">
        <v>271</v>
      </c>
      <c r="I112" s="84">
        <v>0.13205200762540212</v>
      </c>
    </row>
    <row r="113" spans="1:9" x14ac:dyDescent="0.3">
      <c r="A113" s="105"/>
      <c r="B113" s="25" t="s">
        <v>62</v>
      </c>
      <c r="C113" s="83" t="s">
        <v>272</v>
      </c>
      <c r="D113" s="84">
        <v>0.11154898921610659</v>
      </c>
      <c r="F113" s="105"/>
      <c r="G113" s="25" t="s">
        <v>62</v>
      </c>
      <c r="H113" s="83" t="s">
        <v>273</v>
      </c>
      <c r="I113" s="84">
        <v>9.3232455617776724E-2</v>
      </c>
    </row>
    <row r="114" spans="1:9" x14ac:dyDescent="0.3">
      <c r="A114" s="105"/>
      <c r="B114" s="25" t="s">
        <v>64</v>
      </c>
      <c r="C114" s="83" t="s">
        <v>274</v>
      </c>
      <c r="D114" s="84">
        <v>8.1703657289845993E-2</v>
      </c>
      <c r="F114" s="105"/>
      <c r="G114" s="25" t="s">
        <v>59</v>
      </c>
      <c r="H114" s="83" t="s">
        <v>275</v>
      </c>
      <c r="I114" s="84">
        <v>8.8794233289646141E-2</v>
      </c>
    </row>
    <row r="115" spans="1:9" x14ac:dyDescent="0.3">
      <c r="A115" s="105"/>
      <c r="B115" s="25" t="s">
        <v>68</v>
      </c>
      <c r="C115" s="83" t="s">
        <v>276</v>
      </c>
      <c r="D115" s="84">
        <v>5.1330673086436039E-2</v>
      </c>
      <c r="F115" s="105"/>
      <c r="G115" s="25" t="s">
        <v>70</v>
      </c>
      <c r="H115" s="83" t="s">
        <v>277</v>
      </c>
      <c r="I115" s="84">
        <v>7.6187001072322166E-2</v>
      </c>
    </row>
    <row r="116" spans="1:9" x14ac:dyDescent="0.3">
      <c r="A116" s="105"/>
      <c r="B116" s="25" t="s">
        <v>258</v>
      </c>
      <c r="C116" s="83" t="s">
        <v>278</v>
      </c>
      <c r="D116" s="84">
        <v>4.5015334894304655E-2</v>
      </c>
      <c r="F116" s="105"/>
      <c r="G116" s="25" t="s">
        <v>42</v>
      </c>
      <c r="H116" s="83" t="s">
        <v>279</v>
      </c>
      <c r="I116" s="84">
        <v>7.0922197068986059E-2</v>
      </c>
    </row>
    <row r="117" spans="1:9" x14ac:dyDescent="0.3">
      <c r="A117" s="99" t="s">
        <v>25</v>
      </c>
      <c r="B117" s="1" t="s">
        <v>59</v>
      </c>
      <c r="C117" s="85" t="s">
        <v>280</v>
      </c>
      <c r="D117" s="86">
        <v>0.38576592739965715</v>
      </c>
      <c r="F117" s="99" t="s">
        <v>25</v>
      </c>
      <c r="G117" s="1" t="s">
        <v>64</v>
      </c>
      <c r="H117" s="85" t="s">
        <v>281</v>
      </c>
      <c r="I117" s="86">
        <v>0.17356396763064597</v>
      </c>
    </row>
    <row r="118" spans="1:9" x14ac:dyDescent="0.3">
      <c r="A118" s="100"/>
      <c r="B118" s="1" t="s">
        <v>62</v>
      </c>
      <c r="C118" s="85" t="s">
        <v>282</v>
      </c>
      <c r="D118" s="86">
        <v>0.11729387417953796</v>
      </c>
      <c r="F118" s="100"/>
      <c r="G118" s="1" t="s">
        <v>62</v>
      </c>
      <c r="H118" s="85" t="s">
        <v>283</v>
      </c>
      <c r="I118" s="86">
        <v>8.9270099683619777E-2</v>
      </c>
    </row>
    <row r="119" spans="1:9" x14ac:dyDescent="0.3">
      <c r="A119" s="100"/>
      <c r="B119" s="1" t="s">
        <v>64</v>
      </c>
      <c r="C119" s="85" t="s">
        <v>284</v>
      </c>
      <c r="D119" s="86">
        <v>9.5337910453063793E-2</v>
      </c>
      <c r="F119" s="100"/>
      <c r="G119" s="1" t="s">
        <v>70</v>
      </c>
      <c r="H119" s="85" t="s">
        <v>285</v>
      </c>
      <c r="I119" s="86">
        <v>8.208993783684955E-2</v>
      </c>
    </row>
    <row r="120" spans="1:9" x14ac:dyDescent="0.3">
      <c r="A120" s="100"/>
      <c r="B120" s="1" t="s">
        <v>68</v>
      </c>
      <c r="C120" s="85" t="s">
        <v>286</v>
      </c>
      <c r="D120" s="86">
        <v>4.0909857979021039E-2</v>
      </c>
      <c r="F120" s="100"/>
      <c r="G120" s="1" t="s">
        <v>45</v>
      </c>
      <c r="H120" s="85" t="s">
        <v>287</v>
      </c>
      <c r="I120" s="86">
        <v>7.9083133277158615E-2</v>
      </c>
    </row>
    <row r="121" spans="1:9" x14ac:dyDescent="0.3">
      <c r="A121" s="100"/>
      <c r="B121" s="1" t="s">
        <v>258</v>
      </c>
      <c r="C121" s="85" t="s">
        <v>288</v>
      </c>
      <c r="D121" s="86">
        <v>3.2969473039106842E-2</v>
      </c>
      <c r="F121" s="100"/>
      <c r="G121" s="1" t="s">
        <v>42</v>
      </c>
      <c r="H121" s="85" t="s">
        <v>289</v>
      </c>
      <c r="I121" s="86">
        <v>6.6644541248668504E-2</v>
      </c>
    </row>
    <row r="122" spans="1:9" x14ac:dyDescent="0.3">
      <c r="A122" s="104" t="s">
        <v>26</v>
      </c>
      <c r="B122" s="25" t="s">
        <v>59</v>
      </c>
      <c r="C122" s="83" t="s">
        <v>290</v>
      </c>
      <c r="D122" s="84">
        <v>0.37858767033980506</v>
      </c>
      <c r="F122" s="104" t="s">
        <v>26</v>
      </c>
      <c r="G122" s="25" t="s">
        <v>64</v>
      </c>
      <c r="H122" s="83" t="s">
        <v>291</v>
      </c>
      <c r="I122" s="84">
        <v>0.13449204285705485</v>
      </c>
    </row>
    <row r="123" spans="1:9" x14ac:dyDescent="0.3">
      <c r="A123" s="105"/>
      <c r="B123" s="25" t="s">
        <v>62</v>
      </c>
      <c r="C123" s="83" t="s">
        <v>292</v>
      </c>
      <c r="D123" s="84">
        <v>9.4165911367647764E-2</v>
      </c>
      <c r="F123" s="105"/>
      <c r="G123" s="25" t="s">
        <v>59</v>
      </c>
      <c r="H123" s="83" t="s">
        <v>293</v>
      </c>
      <c r="I123" s="84">
        <v>8.598520088474311E-2</v>
      </c>
    </row>
    <row r="124" spans="1:9" x14ac:dyDescent="0.3">
      <c r="A124" s="105"/>
      <c r="B124" s="25" t="s">
        <v>64</v>
      </c>
      <c r="C124" s="83" t="s">
        <v>294</v>
      </c>
      <c r="D124" s="84">
        <v>8.7789597544880665E-2</v>
      </c>
      <c r="F124" s="105"/>
      <c r="G124" s="25" t="s">
        <v>62</v>
      </c>
      <c r="H124" s="83" t="s">
        <v>295</v>
      </c>
      <c r="I124" s="84">
        <v>8.3865760564855493E-2</v>
      </c>
    </row>
    <row r="125" spans="1:9" x14ac:dyDescent="0.3">
      <c r="A125" s="105"/>
      <c r="B125" s="25" t="s">
        <v>68</v>
      </c>
      <c r="C125" s="83" t="s">
        <v>296</v>
      </c>
      <c r="D125" s="84">
        <v>5.3300259186821228E-2</v>
      </c>
      <c r="F125" s="105"/>
      <c r="G125" s="25" t="s">
        <v>70</v>
      </c>
      <c r="H125" s="83" t="s">
        <v>297</v>
      </c>
      <c r="I125" s="84">
        <v>7.9448206177182748E-2</v>
      </c>
    </row>
    <row r="126" spans="1:9" x14ac:dyDescent="0.3">
      <c r="A126" s="105"/>
      <c r="B126" s="25" t="s">
        <v>258</v>
      </c>
      <c r="C126" s="83" t="s">
        <v>298</v>
      </c>
      <c r="D126" s="84">
        <v>5.0326766207126845E-2</v>
      </c>
      <c r="F126" s="105"/>
      <c r="G126" s="25" t="s">
        <v>42</v>
      </c>
      <c r="H126" s="83" t="s">
        <v>299</v>
      </c>
      <c r="I126" s="84">
        <v>7.5400321612746221E-2</v>
      </c>
    </row>
    <row r="127" spans="1:9" x14ac:dyDescent="0.3">
      <c r="A127" s="99" t="s">
        <v>27</v>
      </c>
      <c r="B127" s="1" t="s">
        <v>59</v>
      </c>
      <c r="C127" s="85" t="s">
        <v>300</v>
      </c>
      <c r="D127" s="86">
        <v>0.38260562231526291</v>
      </c>
      <c r="F127" s="99" t="s">
        <v>27</v>
      </c>
      <c r="G127" s="1" t="s">
        <v>64</v>
      </c>
      <c r="H127" s="85" t="s">
        <v>301</v>
      </c>
      <c r="I127" s="86">
        <v>0.17517830348104796</v>
      </c>
    </row>
    <row r="128" spans="1:9" x14ac:dyDescent="0.3">
      <c r="A128" s="100"/>
      <c r="B128" s="1" t="s">
        <v>62</v>
      </c>
      <c r="C128" s="85" t="s">
        <v>302</v>
      </c>
      <c r="D128" s="86">
        <v>0.1273177097493339</v>
      </c>
      <c r="F128" s="100"/>
      <c r="G128" s="1" t="s">
        <v>62</v>
      </c>
      <c r="H128" s="85" t="s">
        <v>303</v>
      </c>
      <c r="I128" s="86">
        <v>9.2235880405662773E-2</v>
      </c>
    </row>
    <row r="129" spans="1:9" x14ac:dyDescent="0.3">
      <c r="A129" s="100"/>
      <c r="B129" s="1" t="s">
        <v>64</v>
      </c>
      <c r="C129" s="85" t="s">
        <v>304</v>
      </c>
      <c r="D129" s="86">
        <v>9.2146520943214974E-2</v>
      </c>
      <c r="F129" s="100"/>
      <c r="G129" s="1" t="s">
        <v>70</v>
      </c>
      <c r="H129" s="85" t="s">
        <v>305</v>
      </c>
      <c r="I129" s="86">
        <v>8.1324065129963194E-2</v>
      </c>
    </row>
    <row r="130" spans="1:9" x14ac:dyDescent="0.3">
      <c r="A130" s="100"/>
      <c r="B130" s="1" t="s">
        <v>68</v>
      </c>
      <c r="C130" s="85" t="s">
        <v>306</v>
      </c>
      <c r="D130" s="86">
        <v>3.9575517010131768E-2</v>
      </c>
      <c r="F130" s="100"/>
      <c r="G130" s="1" t="s">
        <v>45</v>
      </c>
      <c r="H130" s="85" t="s">
        <v>307</v>
      </c>
      <c r="I130" s="86">
        <v>7.9476317046633535E-2</v>
      </c>
    </row>
    <row r="131" spans="1:9" x14ac:dyDescent="0.3">
      <c r="A131" s="100"/>
      <c r="B131" s="1" t="s">
        <v>152</v>
      </c>
      <c r="C131" s="85" t="s">
        <v>308</v>
      </c>
      <c r="D131" s="86">
        <v>3.3829953056748775E-2</v>
      </c>
      <c r="F131" s="100"/>
      <c r="G131" s="1" t="s">
        <v>42</v>
      </c>
      <c r="H131" s="85" t="s">
        <v>309</v>
      </c>
      <c r="I131" s="86">
        <v>6.4862692114240492E-2</v>
      </c>
    </row>
    <row r="132" spans="1:9" x14ac:dyDescent="0.3">
      <c r="A132" s="104" t="s">
        <v>28</v>
      </c>
      <c r="B132" s="25" t="s">
        <v>59</v>
      </c>
      <c r="C132" s="83" t="s">
        <v>310</v>
      </c>
      <c r="D132" s="84">
        <v>0.39615463471307832</v>
      </c>
      <c r="F132" s="104" t="s">
        <v>28</v>
      </c>
      <c r="G132" s="25" t="s">
        <v>64</v>
      </c>
      <c r="H132" s="83" t="s">
        <v>311</v>
      </c>
      <c r="I132" s="84">
        <v>0.14869039875919349</v>
      </c>
    </row>
    <row r="133" spans="1:9" x14ac:dyDescent="0.3">
      <c r="A133" s="105"/>
      <c r="B133" s="25" t="s">
        <v>64</v>
      </c>
      <c r="C133" s="83" t="s">
        <v>312</v>
      </c>
      <c r="D133" s="84">
        <v>9.2648700366767658E-2</v>
      </c>
      <c r="F133" s="105"/>
      <c r="G133" s="25" t="s">
        <v>70</v>
      </c>
      <c r="H133" s="83" t="s">
        <v>313</v>
      </c>
      <c r="I133" s="84">
        <v>8.6324861159753838E-2</v>
      </c>
    </row>
    <row r="134" spans="1:9" x14ac:dyDescent="0.3">
      <c r="A134" s="105"/>
      <c r="B134" s="25" t="s">
        <v>62</v>
      </c>
      <c r="C134" s="83" t="s">
        <v>314</v>
      </c>
      <c r="D134" s="84">
        <v>9.2329771966193588E-2</v>
      </c>
      <c r="F134" s="105"/>
      <c r="G134" s="25" t="s">
        <v>42</v>
      </c>
      <c r="H134" s="83" t="s">
        <v>315</v>
      </c>
      <c r="I134" s="84">
        <v>7.7237704507930161E-2</v>
      </c>
    </row>
    <row r="135" spans="1:9" x14ac:dyDescent="0.3">
      <c r="A135" s="105"/>
      <c r="B135" s="25" t="s">
        <v>68</v>
      </c>
      <c r="C135" s="83" t="s">
        <v>316</v>
      </c>
      <c r="D135" s="84">
        <v>4.676857188418343E-2</v>
      </c>
      <c r="F135" s="105"/>
      <c r="G135" s="25" t="s">
        <v>62</v>
      </c>
      <c r="H135" s="83" t="s">
        <v>317</v>
      </c>
      <c r="I135" s="84">
        <v>7.7100115074798622E-2</v>
      </c>
    </row>
    <row r="136" spans="1:9" x14ac:dyDescent="0.3">
      <c r="A136" s="105"/>
      <c r="B136" s="25" t="s">
        <v>258</v>
      </c>
      <c r="C136" s="83" t="s">
        <v>318</v>
      </c>
      <c r="D136" s="84">
        <v>4.3556507278401713E-2</v>
      </c>
      <c r="F136" s="105"/>
      <c r="G136" s="25" t="s">
        <v>45</v>
      </c>
      <c r="H136" s="83" t="s">
        <v>319</v>
      </c>
      <c r="I136" s="84">
        <v>7.3116275579126436E-2</v>
      </c>
    </row>
    <row r="137" spans="1:9" x14ac:dyDescent="0.3">
      <c r="A137" s="99" t="s">
        <v>29</v>
      </c>
      <c r="B137" s="1" t="s">
        <v>59</v>
      </c>
      <c r="C137" s="85" t="s">
        <v>320</v>
      </c>
      <c r="D137" s="86">
        <v>0.39540048229539915</v>
      </c>
      <c r="F137" s="99" t="s">
        <v>29</v>
      </c>
      <c r="G137" s="1" t="s">
        <v>64</v>
      </c>
      <c r="H137" s="85" t="s">
        <v>321</v>
      </c>
      <c r="I137" s="86">
        <v>0.17534779653677049</v>
      </c>
    </row>
    <row r="138" spans="1:9" x14ac:dyDescent="0.3">
      <c r="A138" s="100"/>
      <c r="B138" s="1" t="s">
        <v>64</v>
      </c>
      <c r="C138" s="85" t="s">
        <v>322</v>
      </c>
      <c r="D138" s="86">
        <v>0.10013760405455115</v>
      </c>
      <c r="F138" s="100"/>
      <c r="G138" s="1" t="s">
        <v>62</v>
      </c>
      <c r="H138" s="85" t="s">
        <v>323</v>
      </c>
      <c r="I138" s="86">
        <v>8.8234763414150041E-2</v>
      </c>
    </row>
    <row r="139" spans="1:9" x14ac:dyDescent="0.3">
      <c r="A139" s="100"/>
      <c r="B139" s="1" t="s">
        <v>62</v>
      </c>
      <c r="C139" s="85" t="s">
        <v>324</v>
      </c>
      <c r="D139" s="86">
        <v>9.5219280916633744E-2</v>
      </c>
      <c r="F139" s="100"/>
      <c r="G139" s="1" t="s">
        <v>70</v>
      </c>
      <c r="H139" s="85" t="s">
        <v>325</v>
      </c>
      <c r="I139" s="86">
        <v>8.0003729076572383E-2</v>
      </c>
    </row>
    <row r="140" spans="1:9" x14ac:dyDescent="0.3">
      <c r="A140" s="100"/>
      <c r="B140" s="1" t="s">
        <v>68</v>
      </c>
      <c r="C140" s="85" t="s">
        <v>326</v>
      </c>
      <c r="D140" s="86">
        <v>4.6172291175629099E-2</v>
      </c>
      <c r="F140" s="100"/>
      <c r="G140" s="1" t="s">
        <v>45</v>
      </c>
      <c r="H140" s="85" t="s">
        <v>327</v>
      </c>
      <c r="I140" s="86">
        <v>7.6969343381791275E-2</v>
      </c>
    </row>
    <row r="141" spans="1:9" x14ac:dyDescent="0.3">
      <c r="A141" s="100"/>
      <c r="B141" s="1" t="s">
        <v>258</v>
      </c>
      <c r="C141" s="85" t="s">
        <v>328</v>
      </c>
      <c r="D141" s="86">
        <v>4.3610948378043295E-2</v>
      </c>
      <c r="F141" s="100"/>
      <c r="G141" s="1" t="s">
        <v>42</v>
      </c>
      <c r="H141" s="85" t="s">
        <v>329</v>
      </c>
      <c r="I141" s="86">
        <v>6.8945814111547502E-2</v>
      </c>
    </row>
    <row r="142" spans="1:9" x14ac:dyDescent="0.3">
      <c r="A142" s="104" t="s">
        <v>30</v>
      </c>
      <c r="B142" s="25" t="s">
        <v>59</v>
      </c>
      <c r="C142" s="83" t="s">
        <v>330</v>
      </c>
      <c r="D142" s="84">
        <v>0.35066769159262767</v>
      </c>
      <c r="F142" s="104" t="s">
        <v>30</v>
      </c>
      <c r="G142" s="25" t="s">
        <v>64</v>
      </c>
      <c r="H142" s="83" t="s">
        <v>331</v>
      </c>
      <c r="I142" s="84">
        <v>0.15846327777088418</v>
      </c>
    </row>
    <row r="143" spans="1:9" x14ac:dyDescent="0.3">
      <c r="A143" s="105"/>
      <c r="B143" s="25" t="s">
        <v>62</v>
      </c>
      <c r="C143" s="83" t="s">
        <v>332</v>
      </c>
      <c r="D143" s="84">
        <v>0.15962030068467437</v>
      </c>
      <c r="F143" s="105"/>
      <c r="G143" s="25" t="s">
        <v>62</v>
      </c>
      <c r="H143" s="83" t="s">
        <v>333</v>
      </c>
      <c r="I143" s="84">
        <v>0.1087259240876315</v>
      </c>
    </row>
    <row r="144" spans="1:9" x14ac:dyDescent="0.3">
      <c r="A144" s="105"/>
      <c r="B144" s="25" t="s">
        <v>64</v>
      </c>
      <c r="C144" s="83" t="s">
        <v>334</v>
      </c>
      <c r="D144" s="84">
        <v>7.6368901839503747E-2</v>
      </c>
      <c r="F144" s="105"/>
      <c r="G144" s="25" t="s">
        <v>70</v>
      </c>
      <c r="H144" s="83" t="s">
        <v>335</v>
      </c>
      <c r="I144" s="84">
        <v>7.673960099819388E-2</v>
      </c>
    </row>
    <row r="145" spans="1:9" x14ac:dyDescent="0.3">
      <c r="A145" s="105"/>
      <c r="B145" s="25" t="s">
        <v>152</v>
      </c>
      <c r="C145" s="83" t="s">
        <v>336</v>
      </c>
      <c r="D145" s="84">
        <v>4.5245714081410107E-2</v>
      </c>
      <c r="F145" s="105"/>
      <c r="G145" s="25" t="s">
        <v>45</v>
      </c>
      <c r="H145" s="83" t="s">
        <v>337</v>
      </c>
      <c r="I145" s="84">
        <v>6.6302684369442033E-2</v>
      </c>
    </row>
    <row r="146" spans="1:9" x14ac:dyDescent="0.3">
      <c r="A146" s="105"/>
      <c r="B146" s="25" t="s">
        <v>68</v>
      </c>
      <c r="C146" s="83" t="s">
        <v>338</v>
      </c>
      <c r="D146" s="84">
        <v>4.0705053719229875E-2</v>
      </c>
      <c r="F146" s="105"/>
      <c r="G146" s="25" t="s">
        <v>339</v>
      </c>
      <c r="H146" s="83" t="s">
        <v>340</v>
      </c>
      <c r="I146" s="84">
        <v>6.3076477644041853E-2</v>
      </c>
    </row>
  </sheetData>
  <mergeCells count="56">
    <mergeCell ref="A142:A146"/>
    <mergeCell ref="F142:F146"/>
    <mergeCell ref="A127:A131"/>
    <mergeCell ref="F127:F131"/>
    <mergeCell ref="A132:A136"/>
    <mergeCell ref="F132:F136"/>
    <mergeCell ref="A137:A141"/>
    <mergeCell ref="F137:F141"/>
    <mergeCell ref="A112:A116"/>
    <mergeCell ref="F112:F116"/>
    <mergeCell ref="A117:A121"/>
    <mergeCell ref="F117:F121"/>
    <mergeCell ref="A122:A126"/>
    <mergeCell ref="F122:F126"/>
    <mergeCell ref="A94:A98"/>
    <mergeCell ref="F94:F98"/>
    <mergeCell ref="A102:A106"/>
    <mergeCell ref="F102:F106"/>
    <mergeCell ref="A107:A111"/>
    <mergeCell ref="F107:F111"/>
    <mergeCell ref="A79:A83"/>
    <mergeCell ref="F79:F83"/>
    <mergeCell ref="A84:A88"/>
    <mergeCell ref="F84:F88"/>
    <mergeCell ref="A89:A93"/>
    <mergeCell ref="F89:F93"/>
    <mergeCell ref="A64:A68"/>
    <mergeCell ref="F64:F68"/>
    <mergeCell ref="A69:A73"/>
    <mergeCell ref="F69:F73"/>
    <mergeCell ref="A74:A78"/>
    <mergeCell ref="F74:F78"/>
    <mergeCell ref="A46:A50"/>
    <mergeCell ref="F46:F50"/>
    <mergeCell ref="A54:A58"/>
    <mergeCell ref="F54:F58"/>
    <mergeCell ref="A59:A63"/>
    <mergeCell ref="F59:F63"/>
    <mergeCell ref="A31:A35"/>
    <mergeCell ref="F31:F35"/>
    <mergeCell ref="A36:A40"/>
    <mergeCell ref="F36:F40"/>
    <mergeCell ref="A41:A45"/>
    <mergeCell ref="F41:F45"/>
    <mergeCell ref="A16:A20"/>
    <mergeCell ref="F16:F20"/>
    <mergeCell ref="A21:A25"/>
    <mergeCell ref="F21:F25"/>
    <mergeCell ref="A26:A30"/>
    <mergeCell ref="F26:F30"/>
    <mergeCell ref="A3:D3"/>
    <mergeCell ref="F3:I3"/>
    <mergeCell ref="A6:A10"/>
    <mergeCell ref="F6:F10"/>
    <mergeCell ref="A11:A15"/>
    <mergeCell ref="F11:F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FD0BF-0972-4764-85EC-102ABCD5E4FF}">
  <dimension ref="A1:Y148"/>
  <sheetViews>
    <sheetView zoomScale="80" zoomScaleNormal="80" workbookViewId="0">
      <pane ySplit="2" topLeftCell="A3" activePane="bottomLeft" state="frozen"/>
      <selection activeCell="A61" sqref="A61:A62"/>
      <selection pane="bottomLeft"/>
    </sheetView>
  </sheetViews>
  <sheetFormatPr defaultRowHeight="14.4" x14ac:dyDescent="0.3"/>
  <cols>
    <col min="2" max="9" width="10.6640625" customWidth="1"/>
    <col min="15" max="22" width="10.6640625" customWidth="1"/>
  </cols>
  <sheetData>
    <row r="1" spans="1:25" s="32" customFormat="1" ht="28.8" x14ac:dyDescent="0.55000000000000004">
      <c r="A1" s="87" t="s">
        <v>395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</row>
    <row r="2" spans="1:25" s="89" customFormat="1" ht="18" x14ac:dyDescent="0.35">
      <c r="A2" s="106" t="s">
        <v>356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88"/>
      <c r="N2" s="106" t="s">
        <v>357</v>
      </c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</row>
    <row r="3" spans="1:25" x14ac:dyDescent="0.3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2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5" x14ac:dyDescent="0.3">
      <c r="A4" s="24" t="str">
        <f>CONCATENATE("Table 18a. College Enrollment Rates in the First Fall after High School Graduation for Classes ",A6," and ",A7,", School Percentile Distribution")</f>
        <v>Table 18a. College Enrollment Rates in the First Fall after High School Graduation for Classes 2021 and 2022, School Percentile Distribution</v>
      </c>
      <c r="B4" s="30"/>
      <c r="N4" s="24" t="str">
        <f>CONCATENATE("Table 18b. College Enrollment Rates in the First Fall after High School Graduation for Classes ",N6," and ",N7,", School Percentile Distribution")</f>
        <v>Table 18b. College Enrollment Rates in the First Fall after High School Graduation for Classes 2021 and 2022, School Percentile Distribution</v>
      </c>
      <c r="O4" s="30"/>
    </row>
    <row r="5" spans="1:25" ht="28.8" x14ac:dyDescent="0.3">
      <c r="A5" s="33"/>
      <c r="B5" s="34" t="s">
        <v>358</v>
      </c>
      <c r="C5" s="35" t="s">
        <v>359</v>
      </c>
      <c r="D5" s="35" t="s">
        <v>360</v>
      </c>
      <c r="E5" s="35" t="s">
        <v>361</v>
      </c>
      <c r="N5" s="33"/>
      <c r="O5" s="34" t="s">
        <v>358</v>
      </c>
      <c r="P5" s="35" t="s">
        <v>359</v>
      </c>
      <c r="Q5" s="35" t="s">
        <v>360</v>
      </c>
      <c r="R5" s="35" t="s">
        <v>361</v>
      </c>
    </row>
    <row r="6" spans="1:25" x14ac:dyDescent="0.3">
      <c r="A6" s="36">
        <v>2021</v>
      </c>
      <c r="B6" s="34">
        <v>1481</v>
      </c>
      <c r="C6" s="55">
        <v>0.35699999999999998</v>
      </c>
      <c r="D6" s="55">
        <v>0.47199999999999998</v>
      </c>
      <c r="E6" s="55">
        <v>0.59299999999999997</v>
      </c>
      <c r="G6" s="31"/>
      <c r="I6" s="31"/>
      <c r="N6" s="36">
        <v>2021</v>
      </c>
      <c r="O6" s="34">
        <v>1653</v>
      </c>
      <c r="P6" s="55">
        <v>0.59499999999999997</v>
      </c>
      <c r="Q6" s="55">
        <v>0.70299999999999996</v>
      </c>
      <c r="R6" s="55">
        <v>0.79600000000000004</v>
      </c>
      <c r="T6" s="31"/>
      <c r="V6" s="31"/>
    </row>
    <row r="7" spans="1:25" x14ac:dyDescent="0.3">
      <c r="A7" s="36">
        <v>2022</v>
      </c>
      <c r="B7" s="34">
        <v>1341</v>
      </c>
      <c r="C7" s="55">
        <v>0.371</v>
      </c>
      <c r="D7" s="55">
        <v>0.48099999999999998</v>
      </c>
      <c r="E7" s="55">
        <v>0.60899999999999999</v>
      </c>
      <c r="N7" s="36">
        <v>2022</v>
      </c>
      <c r="O7" s="34">
        <v>1904</v>
      </c>
      <c r="P7" s="55">
        <v>0.57599999999999996</v>
      </c>
      <c r="Q7" s="55">
        <v>0.68200000000000005</v>
      </c>
      <c r="R7" s="55">
        <v>0.78100000000000003</v>
      </c>
    </row>
    <row r="8" spans="1:25" x14ac:dyDescent="0.3">
      <c r="B8" s="30"/>
      <c r="O8" s="30"/>
    </row>
    <row r="9" spans="1:25" x14ac:dyDescent="0.3">
      <c r="A9" s="24" t="str">
        <f>CONCATENATE("Table 19a. College Enrollment Rates in the First Fall after High School Graduation for Classes ",A11," and ",A12,", Student-Weighted Totals")</f>
        <v>Table 19a. College Enrollment Rates in the First Fall after High School Graduation for Classes 2021 and 2022, Student-Weighted Totals</v>
      </c>
      <c r="B9" s="30"/>
      <c r="N9" s="24" t="str">
        <f>CONCATENATE("Table 19b. College Enrollment Rates in the First Fall after High School Graduation for Classes ",N11," and ",N12,", Student-Weighted Totals")</f>
        <v>Table 19b. College Enrollment Rates in the First Fall after High School Graduation for Classes 2021 and 2022, Student-Weighted Totals</v>
      </c>
      <c r="O9" s="30"/>
    </row>
    <row r="10" spans="1:25" ht="28.8" x14ac:dyDescent="0.3">
      <c r="A10" s="33"/>
      <c r="B10" s="34" t="s">
        <v>362</v>
      </c>
      <c r="C10" s="35" t="s">
        <v>363</v>
      </c>
      <c r="D10" s="35" t="s">
        <v>34</v>
      </c>
      <c r="E10" s="35" t="s">
        <v>35</v>
      </c>
      <c r="F10" s="35" t="s">
        <v>364</v>
      </c>
      <c r="G10" s="35" t="s">
        <v>365</v>
      </c>
      <c r="H10" s="35" t="s">
        <v>366</v>
      </c>
      <c r="I10" s="35" t="s">
        <v>367</v>
      </c>
      <c r="N10" s="33"/>
      <c r="O10" s="34" t="s">
        <v>362</v>
      </c>
      <c r="P10" s="35" t="s">
        <v>363</v>
      </c>
      <c r="Q10" s="35" t="s">
        <v>34</v>
      </c>
      <c r="R10" s="35" t="s">
        <v>35</v>
      </c>
      <c r="S10" s="35" t="s">
        <v>364</v>
      </c>
      <c r="T10" s="35" t="s">
        <v>365</v>
      </c>
      <c r="U10" s="35" t="s">
        <v>366</v>
      </c>
      <c r="V10" s="35" t="s">
        <v>367</v>
      </c>
    </row>
    <row r="11" spans="1:25" x14ac:dyDescent="0.3">
      <c r="A11" s="36">
        <v>2021</v>
      </c>
      <c r="B11" s="34">
        <v>283854</v>
      </c>
      <c r="C11" s="55">
        <v>0.47199999999999998</v>
      </c>
      <c r="D11" s="55">
        <v>0.42099999999999999</v>
      </c>
      <c r="E11" s="55">
        <v>5.1999999999999998E-2</v>
      </c>
      <c r="F11" s="55">
        <v>0.21199999999999999</v>
      </c>
      <c r="G11" s="55">
        <v>0.26</v>
      </c>
      <c r="H11" s="55">
        <v>0.43099999999999999</v>
      </c>
      <c r="I11" s="55">
        <v>4.2000000000000003E-2</v>
      </c>
      <c r="N11" s="36">
        <v>2021</v>
      </c>
      <c r="O11" s="34">
        <v>421341</v>
      </c>
      <c r="P11" s="55">
        <v>0.71</v>
      </c>
      <c r="Q11" s="55">
        <v>0.54900000000000004</v>
      </c>
      <c r="R11" s="55">
        <v>0.161</v>
      </c>
      <c r="S11" s="55">
        <v>0.16</v>
      </c>
      <c r="T11" s="55">
        <v>0.55100000000000005</v>
      </c>
      <c r="U11" s="55">
        <v>0.48499999999999999</v>
      </c>
      <c r="V11" s="55">
        <v>0.22500000000000001</v>
      </c>
    </row>
    <row r="12" spans="1:25" x14ac:dyDescent="0.3">
      <c r="A12" s="36">
        <v>2022</v>
      </c>
      <c r="B12" s="34">
        <v>261726</v>
      </c>
      <c r="C12" s="55">
        <v>0.499</v>
      </c>
      <c r="D12" s="55">
        <v>0.443</v>
      </c>
      <c r="E12" s="55">
        <v>5.7000000000000002E-2</v>
      </c>
      <c r="F12" s="55">
        <v>0.23</v>
      </c>
      <c r="G12" s="55">
        <v>0.26900000000000002</v>
      </c>
      <c r="H12" s="55">
        <v>0.46100000000000002</v>
      </c>
      <c r="I12" s="55">
        <v>3.7999999999999999E-2</v>
      </c>
      <c r="N12" s="36">
        <v>2022</v>
      </c>
      <c r="O12" s="34">
        <v>480771</v>
      </c>
      <c r="P12" s="55">
        <v>0.70899999999999996</v>
      </c>
      <c r="Q12" s="55">
        <v>0.55400000000000005</v>
      </c>
      <c r="R12" s="55">
        <v>0.155</v>
      </c>
      <c r="S12" s="55">
        <v>0.16300000000000001</v>
      </c>
      <c r="T12" s="55">
        <v>0.54700000000000004</v>
      </c>
      <c r="U12" s="55">
        <v>0.47699999999999998</v>
      </c>
      <c r="V12" s="55">
        <v>0.23200000000000001</v>
      </c>
    </row>
    <row r="13" spans="1:25" x14ac:dyDescent="0.3">
      <c r="B13" s="30"/>
      <c r="O13" s="30"/>
    </row>
    <row r="14" spans="1:25" x14ac:dyDescent="0.3">
      <c r="A14" s="24" t="str">
        <f>CONCATENATE("Figure ", RIGHT(A9,LEN(A9)-6))</f>
        <v>Figure 19a. College Enrollment Rates in the First Fall after High School Graduation for Classes 2021 and 2022, Student-Weighted Totals</v>
      </c>
      <c r="B14" s="30"/>
      <c r="N14" s="24" t="str">
        <f>CONCATENATE("Figure ", RIGHT(N9,LEN(N9)-6))</f>
        <v>Figure 19b. College Enrollment Rates in the First Fall after High School Graduation for Classes 2021 and 2022, Student-Weighted Totals</v>
      </c>
      <c r="O14" s="30"/>
    </row>
    <row r="15" spans="1:25" x14ac:dyDescent="0.3">
      <c r="B15" s="30"/>
      <c r="O15" s="30"/>
    </row>
    <row r="16" spans="1:25" x14ac:dyDescent="0.3">
      <c r="B16" s="30"/>
      <c r="O16" s="30"/>
    </row>
    <row r="17" spans="2:15" x14ac:dyDescent="0.3">
      <c r="B17" s="30"/>
      <c r="O17" s="30"/>
    </row>
    <row r="18" spans="2:15" x14ac:dyDescent="0.3">
      <c r="B18" s="30"/>
      <c r="O18" s="30"/>
    </row>
    <row r="19" spans="2:15" x14ac:dyDescent="0.3">
      <c r="B19" s="30"/>
      <c r="O19" s="30"/>
    </row>
    <row r="20" spans="2:15" x14ac:dyDescent="0.3">
      <c r="B20" s="30"/>
      <c r="O20" s="30"/>
    </row>
    <row r="21" spans="2:15" x14ac:dyDescent="0.3">
      <c r="B21" s="30"/>
      <c r="O21" s="30"/>
    </row>
    <row r="22" spans="2:15" x14ac:dyDescent="0.3">
      <c r="B22" s="30"/>
      <c r="O22" s="30"/>
    </row>
    <row r="23" spans="2:15" x14ac:dyDescent="0.3">
      <c r="B23" s="30"/>
      <c r="O23" s="30"/>
    </row>
    <row r="24" spans="2:15" x14ac:dyDescent="0.3">
      <c r="B24" s="30"/>
      <c r="O24" s="30"/>
    </row>
    <row r="25" spans="2:15" x14ac:dyDescent="0.3">
      <c r="B25" s="30"/>
      <c r="O25" s="30"/>
    </row>
    <row r="26" spans="2:15" x14ac:dyDescent="0.3">
      <c r="B26" s="30"/>
      <c r="O26" s="30"/>
    </row>
    <row r="27" spans="2:15" x14ac:dyDescent="0.3">
      <c r="B27" s="30"/>
      <c r="O27" s="30"/>
    </row>
    <row r="28" spans="2:15" x14ac:dyDescent="0.3">
      <c r="B28" s="30"/>
      <c r="O28" s="30"/>
    </row>
    <row r="29" spans="2:15" x14ac:dyDescent="0.3">
      <c r="B29" s="30"/>
      <c r="O29" s="30"/>
    </row>
    <row r="30" spans="2:15" x14ac:dyDescent="0.3">
      <c r="B30" s="30"/>
      <c r="O30" s="30"/>
    </row>
    <row r="31" spans="2:15" x14ac:dyDescent="0.3">
      <c r="B31" s="30"/>
      <c r="O31" s="30"/>
    </row>
    <row r="32" spans="2:15" x14ac:dyDescent="0.3">
      <c r="B32" s="30"/>
      <c r="O32" s="30"/>
    </row>
    <row r="33" spans="1:22" x14ac:dyDescent="0.3">
      <c r="B33" s="30"/>
      <c r="O33" s="30"/>
    </row>
    <row r="34" spans="1:22" x14ac:dyDescent="0.3">
      <c r="A34" s="48" t="str">
        <f>CONCATENATE("Table 20a. College Enrollment Rates in the First Year after High School Graduation for Classes ",A36," and ",A37,", School Percentile Distribution")</f>
        <v>Table 20a. College Enrollment Rates in the First Year after High School Graduation for Classes 2020 and 2021, School Percentile Distribution</v>
      </c>
      <c r="B34" s="30"/>
      <c r="N34" s="48" t="str">
        <f>CONCATENATE("Table 20b. College Enrollment Rates in the First Year after High School Graduation for Classes ",N36," and ",N37,", School Percentile Distribution")</f>
        <v>Table 20b. College Enrollment Rates in the First Year after High School Graduation for Classes 2020 and 2021, School Percentile Distribution</v>
      </c>
      <c r="O34" s="30"/>
    </row>
    <row r="35" spans="1:22" ht="28.8" x14ac:dyDescent="0.3">
      <c r="A35" s="33"/>
      <c r="B35" s="34" t="s">
        <v>358</v>
      </c>
      <c r="C35" s="34" t="s">
        <v>359</v>
      </c>
      <c r="D35" s="34" t="s">
        <v>360</v>
      </c>
      <c r="E35" s="34" t="s">
        <v>361</v>
      </c>
      <c r="N35" s="33"/>
      <c r="O35" s="34" t="s">
        <v>358</v>
      </c>
      <c r="P35" s="34" t="s">
        <v>359</v>
      </c>
      <c r="Q35" s="34" t="s">
        <v>360</v>
      </c>
      <c r="R35" s="34" t="s">
        <v>361</v>
      </c>
    </row>
    <row r="36" spans="1:22" x14ac:dyDescent="0.3">
      <c r="A36" s="36">
        <v>2020</v>
      </c>
      <c r="B36" s="34">
        <v>1573</v>
      </c>
      <c r="C36" s="55">
        <v>0.375</v>
      </c>
      <c r="D36" s="55">
        <v>0.497</v>
      </c>
      <c r="E36" s="55">
        <v>0.61799999999999999</v>
      </c>
      <c r="N36" s="36">
        <v>2020</v>
      </c>
      <c r="O36" s="34">
        <v>2000</v>
      </c>
      <c r="P36" s="55">
        <v>0.64400000000000002</v>
      </c>
      <c r="Q36" s="55">
        <v>0.74</v>
      </c>
      <c r="R36" s="55">
        <v>0.82099999999999995</v>
      </c>
    </row>
    <row r="37" spans="1:22" x14ac:dyDescent="0.3">
      <c r="A37" s="36">
        <v>2021</v>
      </c>
      <c r="B37" s="34">
        <v>1481</v>
      </c>
      <c r="C37" s="55">
        <v>0.39600000000000002</v>
      </c>
      <c r="D37" s="55">
        <v>0.51400000000000001</v>
      </c>
      <c r="E37" s="55">
        <v>0.63200000000000001</v>
      </c>
      <c r="N37" s="36">
        <v>2021</v>
      </c>
      <c r="O37" s="34">
        <v>1653</v>
      </c>
      <c r="P37" s="55">
        <v>0.625</v>
      </c>
      <c r="Q37" s="55">
        <v>0.72799999999999998</v>
      </c>
      <c r="R37" s="55">
        <v>0.81899999999999995</v>
      </c>
    </row>
    <row r="38" spans="1:22" x14ac:dyDescent="0.3">
      <c r="B38" s="30"/>
      <c r="O38" s="30"/>
    </row>
    <row r="39" spans="1:22" x14ac:dyDescent="0.3">
      <c r="A39" s="48" t="str">
        <f>CONCATENATE("Table 21a. College Enrollment Rates in the First Year after High School Graduation for Classes ",A41," and ",A42,", Student-Weighted Totals")</f>
        <v>Table 21a. College Enrollment Rates in the First Year after High School Graduation for Classes 2020 and 2021, Student-Weighted Totals</v>
      </c>
      <c r="B39" s="30"/>
      <c r="N39" s="48" t="str">
        <f>CONCATENATE("Table 21b. College Enrollment Rates in the First Year after High School Graduation for Classes ",N41," and ",N42,", Student-Weighted Totals")</f>
        <v>Table 21b. College Enrollment Rates in the First Year after High School Graduation for Classes 2020 and 2021, Student-Weighted Totals</v>
      </c>
      <c r="O39" s="30"/>
    </row>
    <row r="40" spans="1:22" ht="28.8" x14ac:dyDescent="0.3">
      <c r="A40" s="33"/>
      <c r="B40" s="34" t="s">
        <v>362</v>
      </c>
      <c r="C40" s="35" t="s">
        <v>363</v>
      </c>
      <c r="D40" s="35" t="s">
        <v>34</v>
      </c>
      <c r="E40" s="35" t="s">
        <v>35</v>
      </c>
      <c r="F40" s="35" t="s">
        <v>364</v>
      </c>
      <c r="G40" s="35" t="s">
        <v>365</v>
      </c>
      <c r="H40" s="35" t="s">
        <v>366</v>
      </c>
      <c r="I40" s="35" t="s">
        <v>367</v>
      </c>
      <c r="N40" s="33"/>
      <c r="O40" s="34" t="s">
        <v>362</v>
      </c>
      <c r="P40" s="35" t="s">
        <v>363</v>
      </c>
      <c r="Q40" s="35" t="s">
        <v>34</v>
      </c>
      <c r="R40" s="35" t="s">
        <v>35</v>
      </c>
      <c r="S40" s="35" t="s">
        <v>364</v>
      </c>
      <c r="T40" s="35" t="s">
        <v>365</v>
      </c>
      <c r="U40" s="35" t="s">
        <v>366</v>
      </c>
      <c r="V40" s="35" t="s">
        <v>367</v>
      </c>
    </row>
    <row r="41" spans="1:22" x14ac:dyDescent="0.3">
      <c r="A41" s="36">
        <v>2020</v>
      </c>
      <c r="B41" s="34">
        <v>300969</v>
      </c>
      <c r="C41" s="55">
        <v>0.51700000000000002</v>
      </c>
      <c r="D41" s="55">
        <v>0.45500000000000002</v>
      </c>
      <c r="E41" s="55">
        <v>6.2E-2</v>
      </c>
      <c r="F41" s="55">
        <v>0.25</v>
      </c>
      <c r="G41" s="55">
        <v>0.26700000000000002</v>
      </c>
      <c r="H41" s="55">
        <v>0.47399999999999998</v>
      </c>
      <c r="I41" s="55">
        <v>4.2999999999999997E-2</v>
      </c>
      <c r="N41" s="36">
        <v>2020</v>
      </c>
      <c r="O41" s="34">
        <v>539763</v>
      </c>
      <c r="P41" s="55">
        <v>0.755</v>
      </c>
      <c r="Q41" s="55">
        <v>0.59199999999999997</v>
      </c>
      <c r="R41" s="55">
        <v>0.16300000000000001</v>
      </c>
      <c r="S41" s="55">
        <v>0.187</v>
      </c>
      <c r="T41" s="55">
        <v>0.56799999999999995</v>
      </c>
      <c r="U41" s="55">
        <v>0.53800000000000003</v>
      </c>
      <c r="V41" s="55">
        <v>0.217</v>
      </c>
    </row>
    <row r="42" spans="1:22" x14ac:dyDescent="0.3">
      <c r="A42" s="36">
        <v>2021</v>
      </c>
      <c r="B42" s="34">
        <v>283854</v>
      </c>
      <c r="C42" s="55">
        <v>0.51100000000000001</v>
      </c>
      <c r="D42" s="55">
        <v>0.45300000000000001</v>
      </c>
      <c r="E42" s="55">
        <v>5.7000000000000002E-2</v>
      </c>
      <c r="F42" s="55">
        <v>0.23499999999999999</v>
      </c>
      <c r="G42" s="55">
        <v>0.27600000000000002</v>
      </c>
      <c r="H42" s="55">
        <v>0.46400000000000002</v>
      </c>
      <c r="I42" s="55">
        <v>4.5999999999999999E-2</v>
      </c>
      <c r="N42" s="36">
        <v>2021</v>
      </c>
      <c r="O42" s="34">
        <v>421341</v>
      </c>
      <c r="P42" s="55">
        <v>0.73599999999999999</v>
      </c>
      <c r="Q42" s="55">
        <v>0.56999999999999995</v>
      </c>
      <c r="R42" s="55">
        <v>0.16600000000000001</v>
      </c>
      <c r="S42" s="55">
        <v>0.17100000000000001</v>
      </c>
      <c r="T42" s="55">
        <v>0.56599999999999995</v>
      </c>
      <c r="U42" s="55">
        <v>0.505</v>
      </c>
      <c r="V42" s="55">
        <v>0.23100000000000001</v>
      </c>
    </row>
    <row r="43" spans="1:22" x14ac:dyDescent="0.3">
      <c r="B43" s="30"/>
      <c r="O43" s="30"/>
    </row>
    <row r="44" spans="1:22" x14ac:dyDescent="0.3">
      <c r="A44" s="24" t="str">
        <f>CONCATENATE("Figure ", RIGHT(A39,LEN(A39)-6))</f>
        <v>Figure 21a. College Enrollment Rates in the First Year after High School Graduation for Classes 2020 and 2021, Student-Weighted Totals</v>
      </c>
      <c r="B44" s="30"/>
      <c r="N44" s="24" t="str">
        <f>CONCATENATE("Figure ", RIGHT(N39,LEN(N39)-6))</f>
        <v>Figure 21b. College Enrollment Rates in the First Year after High School Graduation for Classes 2020 and 2021, Student-Weighted Totals</v>
      </c>
      <c r="O44" s="30"/>
    </row>
    <row r="45" spans="1:22" x14ac:dyDescent="0.3">
      <c r="B45" s="30"/>
      <c r="O45" s="30"/>
    </row>
    <row r="46" spans="1:22" x14ac:dyDescent="0.3">
      <c r="B46" s="30"/>
      <c r="O46" s="30"/>
    </row>
    <row r="47" spans="1:22" x14ac:dyDescent="0.3">
      <c r="B47" s="30"/>
      <c r="O47" s="30"/>
    </row>
    <row r="48" spans="1:22" x14ac:dyDescent="0.3">
      <c r="B48" s="30"/>
      <c r="O48" s="30"/>
    </row>
    <row r="49" spans="1:15" x14ac:dyDescent="0.3">
      <c r="B49" s="30"/>
      <c r="O49" s="30"/>
    </row>
    <row r="50" spans="1:15" x14ac:dyDescent="0.3">
      <c r="B50" s="30"/>
      <c r="O50" s="30"/>
    </row>
    <row r="51" spans="1:15" x14ac:dyDescent="0.3">
      <c r="B51" s="30"/>
      <c r="O51" s="30"/>
    </row>
    <row r="52" spans="1:15" x14ac:dyDescent="0.3">
      <c r="B52" s="30"/>
      <c r="O52" s="30"/>
    </row>
    <row r="53" spans="1:15" x14ac:dyDescent="0.3">
      <c r="B53" s="30"/>
      <c r="O53" s="30"/>
    </row>
    <row r="54" spans="1:15" x14ac:dyDescent="0.3">
      <c r="B54" s="30"/>
      <c r="O54" s="30"/>
    </row>
    <row r="55" spans="1:15" x14ac:dyDescent="0.3">
      <c r="B55" s="30"/>
      <c r="O55" s="30"/>
    </row>
    <row r="56" spans="1:15" x14ac:dyDescent="0.3">
      <c r="B56" s="30"/>
      <c r="O56" s="30"/>
    </row>
    <row r="57" spans="1:15" x14ac:dyDescent="0.3">
      <c r="B57" s="30"/>
      <c r="O57" s="30"/>
    </row>
    <row r="58" spans="1:15" x14ac:dyDescent="0.3">
      <c r="B58" s="30"/>
      <c r="O58" s="30"/>
    </row>
    <row r="59" spans="1:15" x14ac:dyDescent="0.3">
      <c r="B59" s="30"/>
      <c r="O59" s="30"/>
    </row>
    <row r="60" spans="1:15" x14ac:dyDescent="0.3">
      <c r="B60" s="30"/>
      <c r="O60" s="30"/>
    </row>
    <row r="61" spans="1:15" x14ac:dyDescent="0.3">
      <c r="B61" s="30"/>
      <c r="O61" s="30"/>
    </row>
    <row r="62" spans="1:15" x14ac:dyDescent="0.3">
      <c r="B62" s="30"/>
      <c r="O62" s="30"/>
    </row>
    <row r="63" spans="1:15" x14ac:dyDescent="0.3">
      <c r="B63" s="30"/>
      <c r="O63" s="30"/>
    </row>
    <row r="64" spans="1:15" x14ac:dyDescent="0.3">
      <c r="A64" s="48" t="str">
        <f>CONCATENATE("Table 22a. College Enrollment Rates in the First Two Years after High School Graduation for Classes ",A66," and ",A67,", School Percentile Distribution")</f>
        <v>Table 22a. College Enrollment Rates in the First Two Years after High School Graduation for Classes 2019 and 2020, School Percentile Distribution</v>
      </c>
      <c r="B64" s="30"/>
      <c r="N64" s="48" t="str">
        <f>CONCATENATE("Table 22b. College Enrollment Rates in the First Two Years after High School Graduation for Classes ",N66," and ",N67,", School Percentile Distribution")</f>
        <v>Table 22b. College Enrollment Rates in the First Two Years after High School Graduation for Classes 2019 and 2020, School Percentile Distribution</v>
      </c>
      <c r="O64" s="30"/>
    </row>
    <row r="65" spans="1:22" ht="28.8" x14ac:dyDescent="0.3">
      <c r="A65" s="33"/>
      <c r="B65" s="34" t="s">
        <v>358</v>
      </c>
      <c r="C65" s="35" t="s">
        <v>359</v>
      </c>
      <c r="D65" s="35" t="s">
        <v>360</v>
      </c>
      <c r="E65" s="35" t="s">
        <v>361</v>
      </c>
      <c r="N65" s="33"/>
      <c r="O65" s="34" t="s">
        <v>358</v>
      </c>
      <c r="P65" s="35" t="s">
        <v>359</v>
      </c>
      <c r="Q65" s="35" t="s">
        <v>360</v>
      </c>
      <c r="R65" s="35" t="s">
        <v>361</v>
      </c>
    </row>
    <row r="66" spans="1:22" x14ac:dyDescent="0.3">
      <c r="A66" s="36">
        <v>2019</v>
      </c>
      <c r="B66" s="34">
        <v>1572</v>
      </c>
      <c r="C66" s="55">
        <v>0.47599999999999998</v>
      </c>
      <c r="D66" s="55">
        <v>0.6</v>
      </c>
      <c r="E66" s="55">
        <v>0.71</v>
      </c>
      <c r="N66" s="36">
        <v>2019</v>
      </c>
      <c r="O66" s="34">
        <v>2029</v>
      </c>
      <c r="P66" s="55">
        <v>0.72199999999999998</v>
      </c>
      <c r="Q66" s="55">
        <v>0.8</v>
      </c>
      <c r="R66" s="55">
        <v>0.86899999999999999</v>
      </c>
    </row>
    <row r="67" spans="1:22" x14ac:dyDescent="0.3">
      <c r="A67" s="36">
        <v>2020</v>
      </c>
      <c r="B67" s="34">
        <v>1573</v>
      </c>
      <c r="C67" s="55">
        <v>0.41899999999999998</v>
      </c>
      <c r="D67" s="55">
        <v>0.53800000000000003</v>
      </c>
      <c r="E67" s="55">
        <v>0.65</v>
      </c>
      <c r="N67" s="36">
        <v>2020</v>
      </c>
      <c r="O67" s="34">
        <v>2000</v>
      </c>
      <c r="P67" s="55">
        <v>0.68700000000000006</v>
      </c>
      <c r="Q67" s="55">
        <v>0.77800000000000002</v>
      </c>
      <c r="R67" s="55">
        <v>0.85599999999999998</v>
      </c>
    </row>
    <row r="68" spans="1:22" x14ac:dyDescent="0.3">
      <c r="B68" s="30"/>
      <c r="O68" s="30"/>
    </row>
    <row r="69" spans="1:22" x14ac:dyDescent="0.3">
      <c r="A69" s="48" t="str">
        <f>CONCATENATE("Table 23a. College Enrollment Rates in the First Two Years after High School Graduation for Classes ",A71," and ",A72,", Student-Weighted Totals")</f>
        <v>Table 23a. College Enrollment Rates in the First Two Years after High School Graduation for Classes 2019 and 2020, Student-Weighted Totals</v>
      </c>
      <c r="B69" s="30"/>
      <c r="N69" s="48" t="str">
        <f>CONCATENATE("Table 23b. College Enrollment Rates in the First Two Years after High School Graduation for Classes ",N71," and ",N72,", Student-Weighted Totals")</f>
        <v>Table 23b. College Enrollment Rates in the First Two Years after High School Graduation for Classes 2019 and 2020, Student-Weighted Totals</v>
      </c>
      <c r="O69" s="30"/>
    </row>
    <row r="70" spans="1:22" ht="28.8" x14ac:dyDescent="0.3">
      <c r="A70" s="33"/>
      <c r="B70" s="34" t="s">
        <v>362</v>
      </c>
      <c r="C70" s="35" t="s">
        <v>363</v>
      </c>
      <c r="D70" s="35" t="s">
        <v>34</v>
      </c>
      <c r="E70" s="35" t="s">
        <v>35</v>
      </c>
      <c r="F70" s="35" t="s">
        <v>364</v>
      </c>
      <c r="G70" s="35" t="s">
        <v>365</v>
      </c>
      <c r="H70" s="35" t="s">
        <v>366</v>
      </c>
      <c r="I70" s="35" t="s">
        <v>367</v>
      </c>
      <c r="N70" s="33"/>
      <c r="O70" s="34" t="s">
        <v>362</v>
      </c>
      <c r="P70" s="35" t="s">
        <v>363</v>
      </c>
      <c r="Q70" s="35" t="s">
        <v>34</v>
      </c>
      <c r="R70" s="35" t="s">
        <v>35</v>
      </c>
      <c r="S70" s="35" t="s">
        <v>364</v>
      </c>
      <c r="T70" s="35" t="s">
        <v>365</v>
      </c>
      <c r="U70" s="35" t="s">
        <v>366</v>
      </c>
      <c r="V70" s="35" t="s">
        <v>367</v>
      </c>
    </row>
    <row r="71" spans="1:22" x14ac:dyDescent="0.3">
      <c r="A71" s="36">
        <v>2019</v>
      </c>
      <c r="B71" s="34">
        <v>298261</v>
      </c>
      <c r="C71" s="55">
        <v>0.61799999999999999</v>
      </c>
      <c r="D71" s="55">
        <v>0.55100000000000005</v>
      </c>
      <c r="E71" s="55">
        <v>6.7000000000000004E-2</v>
      </c>
      <c r="F71" s="55">
        <v>0.32100000000000001</v>
      </c>
      <c r="G71" s="55">
        <v>0.29699999999999999</v>
      </c>
      <c r="H71" s="55">
        <v>0.56899999999999995</v>
      </c>
      <c r="I71" s="55">
        <v>4.9000000000000002E-2</v>
      </c>
      <c r="N71" s="36">
        <v>2019</v>
      </c>
      <c r="O71" s="34">
        <v>546583</v>
      </c>
      <c r="P71" s="55">
        <v>0.81100000000000005</v>
      </c>
      <c r="Q71" s="55">
        <v>0.63300000000000001</v>
      </c>
      <c r="R71" s="55">
        <v>0.17799999999999999</v>
      </c>
      <c r="S71" s="55">
        <v>0.20699999999999999</v>
      </c>
      <c r="T71" s="55">
        <v>0.60399999999999998</v>
      </c>
      <c r="U71" s="55">
        <v>0.57499999999999996</v>
      </c>
      <c r="V71" s="55">
        <v>0.23599999999999999</v>
      </c>
    </row>
    <row r="72" spans="1:22" x14ac:dyDescent="0.3">
      <c r="A72" s="36">
        <v>2020</v>
      </c>
      <c r="B72" s="34">
        <v>300969</v>
      </c>
      <c r="C72" s="55">
        <v>0.55700000000000005</v>
      </c>
      <c r="D72" s="55">
        <v>0.48899999999999999</v>
      </c>
      <c r="E72" s="55">
        <v>6.8000000000000005E-2</v>
      </c>
      <c r="F72" s="55">
        <v>0.27800000000000002</v>
      </c>
      <c r="G72" s="55">
        <v>0.27900000000000003</v>
      </c>
      <c r="H72" s="55">
        <v>0.50800000000000001</v>
      </c>
      <c r="I72" s="55">
        <v>4.9000000000000002E-2</v>
      </c>
      <c r="N72" s="36">
        <v>2020</v>
      </c>
      <c r="O72" s="34">
        <v>539763</v>
      </c>
      <c r="P72" s="55">
        <v>0.79</v>
      </c>
      <c r="Q72" s="55">
        <v>0.621</v>
      </c>
      <c r="R72" s="55">
        <v>0.16900000000000001</v>
      </c>
      <c r="S72" s="55">
        <v>0.20499999999999999</v>
      </c>
      <c r="T72" s="55">
        <v>0.58399999999999996</v>
      </c>
      <c r="U72" s="55">
        <v>0.56299999999999994</v>
      </c>
      <c r="V72" s="55">
        <v>0.22700000000000001</v>
      </c>
    </row>
    <row r="73" spans="1:22" x14ac:dyDescent="0.3">
      <c r="B73" s="30"/>
      <c r="O73" s="30"/>
    </row>
    <row r="74" spans="1:22" x14ac:dyDescent="0.3">
      <c r="A74" s="24" t="str">
        <f>CONCATENATE("Figure ", RIGHT(A69,LEN(A69)-6))</f>
        <v>Figure 23a. College Enrollment Rates in the First Two Years after High School Graduation for Classes 2019 and 2020, Student-Weighted Totals</v>
      </c>
      <c r="B74" s="30"/>
      <c r="N74" s="24" t="str">
        <f>CONCATENATE("Figure ", RIGHT(N69,LEN(N69)-6))</f>
        <v>Figure 23b. College Enrollment Rates in the First Two Years after High School Graduation for Classes 2019 and 2020, Student-Weighted Totals</v>
      </c>
      <c r="O74" s="30"/>
    </row>
    <row r="75" spans="1:22" x14ac:dyDescent="0.3">
      <c r="B75" s="30"/>
      <c r="O75" s="30"/>
    </row>
    <row r="76" spans="1:22" x14ac:dyDescent="0.3">
      <c r="B76" s="30"/>
      <c r="O76" s="30"/>
    </row>
    <row r="77" spans="1:22" x14ac:dyDescent="0.3">
      <c r="B77" s="30"/>
      <c r="O77" s="30"/>
    </row>
    <row r="78" spans="1:22" x14ac:dyDescent="0.3">
      <c r="B78" s="30"/>
      <c r="O78" s="30"/>
    </row>
    <row r="79" spans="1:22" x14ac:dyDescent="0.3">
      <c r="B79" s="30"/>
      <c r="O79" s="30"/>
    </row>
    <row r="80" spans="1:22" x14ac:dyDescent="0.3">
      <c r="B80" s="30"/>
      <c r="O80" s="30"/>
    </row>
    <row r="81" spans="1:18" x14ac:dyDescent="0.3">
      <c r="B81" s="30"/>
      <c r="O81" s="30"/>
    </row>
    <row r="82" spans="1:18" x14ac:dyDescent="0.3">
      <c r="B82" s="30"/>
      <c r="O82" s="30"/>
    </row>
    <row r="83" spans="1:18" x14ac:dyDescent="0.3">
      <c r="B83" s="30"/>
      <c r="O83" s="30"/>
    </row>
    <row r="84" spans="1:18" x14ac:dyDescent="0.3">
      <c r="B84" s="30"/>
      <c r="O84" s="30"/>
    </row>
    <row r="85" spans="1:18" x14ac:dyDescent="0.3">
      <c r="B85" s="30"/>
      <c r="O85" s="30"/>
    </row>
    <row r="86" spans="1:18" x14ac:dyDescent="0.3">
      <c r="B86" s="30"/>
      <c r="O86" s="30"/>
    </row>
    <row r="87" spans="1:18" x14ac:dyDescent="0.3">
      <c r="B87" s="30"/>
      <c r="O87" s="30"/>
    </row>
    <row r="88" spans="1:18" x14ac:dyDescent="0.3">
      <c r="B88" s="30"/>
      <c r="O88" s="30"/>
    </row>
    <row r="89" spans="1:18" x14ac:dyDescent="0.3">
      <c r="B89" s="30"/>
      <c r="O89" s="30"/>
    </row>
    <row r="90" spans="1:18" x14ac:dyDescent="0.3">
      <c r="B90" s="30"/>
      <c r="O90" s="30"/>
    </row>
    <row r="91" spans="1:18" x14ac:dyDescent="0.3">
      <c r="B91" s="30"/>
      <c r="O91" s="30"/>
    </row>
    <row r="92" spans="1:18" x14ac:dyDescent="0.3">
      <c r="B92" s="30"/>
      <c r="O92" s="30"/>
    </row>
    <row r="93" spans="1:18" x14ac:dyDescent="0.3">
      <c r="B93" s="30"/>
      <c r="O93" s="30"/>
    </row>
    <row r="94" spans="1:18" x14ac:dyDescent="0.3">
      <c r="A94" s="48" t="str">
        <f>CONCATENATE("Table 24a. Persistence Rates from First to Second Year of College for Class of ",A96,", School Percentile Distribution")</f>
        <v>Table 24a. Persistence Rates from First to Second Year of College for Class of 2020, School Percentile Distribution</v>
      </c>
      <c r="B94" s="30"/>
      <c r="N94" s="48" t="str">
        <f>CONCATENATE("Table 24b. Persistence Rates from First to Second Year of College for Class of ",N96,", School Percentile Distribution")</f>
        <v>Table 24b. Persistence Rates from First to Second Year of College for Class of 2020, School Percentile Distribution</v>
      </c>
      <c r="O94" s="30"/>
    </row>
    <row r="95" spans="1:18" ht="28.8" x14ac:dyDescent="0.3">
      <c r="A95" s="33"/>
      <c r="B95" s="34" t="s">
        <v>358</v>
      </c>
      <c r="C95" s="35" t="s">
        <v>359</v>
      </c>
      <c r="D95" s="35" t="s">
        <v>360</v>
      </c>
      <c r="E95" s="35" t="s">
        <v>361</v>
      </c>
      <c r="N95" s="33"/>
      <c r="O95" s="34" t="s">
        <v>358</v>
      </c>
      <c r="P95" s="35" t="s">
        <v>359</v>
      </c>
      <c r="Q95" s="35" t="s">
        <v>360</v>
      </c>
      <c r="R95" s="35" t="s">
        <v>361</v>
      </c>
    </row>
    <row r="96" spans="1:18" x14ac:dyDescent="0.3">
      <c r="A96" s="36">
        <v>2020</v>
      </c>
      <c r="B96" s="46">
        <v>1573</v>
      </c>
      <c r="C96" s="56">
        <v>0.625</v>
      </c>
      <c r="D96" s="56">
        <v>0.70099999999999996</v>
      </c>
      <c r="E96" s="56">
        <v>0.77300000000000002</v>
      </c>
      <c r="N96" s="36">
        <v>2020</v>
      </c>
      <c r="O96" s="46">
        <v>2000</v>
      </c>
      <c r="P96" s="56">
        <v>0.83699999999999997</v>
      </c>
      <c r="Q96" s="56">
        <v>0.88600000000000001</v>
      </c>
      <c r="R96" s="56">
        <v>0.92500000000000004</v>
      </c>
    </row>
    <row r="97" spans="1:22" x14ac:dyDescent="0.3">
      <c r="B97" s="30"/>
      <c r="O97" s="30"/>
    </row>
    <row r="98" spans="1:22" x14ac:dyDescent="0.3">
      <c r="A98" s="48" t="str">
        <f>CONCATENATE("Table 25a. Persistence Rates from First to Second Year of College for Class of ",A100,", Student-Weighted Totals")</f>
        <v>Table 25a. Persistence Rates from First to Second Year of College for Class of 2020, Student-Weighted Totals</v>
      </c>
      <c r="B98" s="30"/>
      <c r="N98" s="48" t="str">
        <f>CONCATENATE("Table 25b. Persistence Rates from First to Second Year of College for Class of ",N100,", Student-Weighted Totals")</f>
        <v>Table 25b. Persistence Rates from First to Second Year of College for Class of 2020, Student-Weighted Totals</v>
      </c>
      <c r="O98" s="30"/>
    </row>
    <row r="99" spans="1:22" ht="57.6" customHeight="1" x14ac:dyDescent="0.3">
      <c r="A99" s="33"/>
      <c r="B99" s="34" t="s">
        <v>368</v>
      </c>
      <c r="C99" s="35" t="s">
        <v>363</v>
      </c>
      <c r="D99" s="35" t="s">
        <v>34</v>
      </c>
      <c r="E99" s="35" t="s">
        <v>35</v>
      </c>
      <c r="F99" s="35" t="s">
        <v>364</v>
      </c>
      <c r="G99" s="35" t="s">
        <v>365</v>
      </c>
      <c r="H99" s="35" t="s">
        <v>366</v>
      </c>
      <c r="I99" s="35" t="s">
        <v>367</v>
      </c>
      <c r="N99" s="33"/>
      <c r="O99" s="34" t="s">
        <v>368</v>
      </c>
      <c r="P99" s="35" t="s">
        <v>363</v>
      </c>
      <c r="Q99" s="35" t="s">
        <v>34</v>
      </c>
      <c r="R99" s="35" t="s">
        <v>35</v>
      </c>
      <c r="S99" s="35" t="s">
        <v>364</v>
      </c>
      <c r="T99" s="35" t="s">
        <v>365</v>
      </c>
      <c r="U99" s="35" t="s">
        <v>366</v>
      </c>
      <c r="V99" s="35" t="s">
        <v>367</v>
      </c>
    </row>
    <row r="100" spans="1:22" x14ac:dyDescent="0.3">
      <c r="A100" s="36">
        <v>2020</v>
      </c>
      <c r="B100" s="47">
        <v>155572</v>
      </c>
      <c r="C100" s="57">
        <v>0.72</v>
      </c>
      <c r="D100" s="57">
        <v>0.71599999999999997</v>
      </c>
      <c r="E100" s="57">
        <v>0.746</v>
      </c>
      <c r="F100" s="57">
        <v>0.63200000000000001</v>
      </c>
      <c r="G100" s="57">
        <v>0.80200000000000005</v>
      </c>
      <c r="H100" s="57">
        <v>0.71799999999999997</v>
      </c>
      <c r="I100" s="57">
        <v>0.74199999999999999</v>
      </c>
      <c r="N100" s="36">
        <v>2020</v>
      </c>
      <c r="O100" s="34">
        <v>407286</v>
      </c>
      <c r="P100" s="55">
        <v>0.89700000000000002</v>
      </c>
      <c r="Q100" s="55">
        <v>0.88600000000000001</v>
      </c>
      <c r="R100" s="55">
        <v>0.93700000000000006</v>
      </c>
      <c r="S100" s="55">
        <v>0.76800000000000002</v>
      </c>
      <c r="T100" s="55">
        <v>0.93899999999999995</v>
      </c>
      <c r="U100" s="55">
        <v>0.879</v>
      </c>
      <c r="V100" s="55">
        <v>0.94099999999999995</v>
      </c>
    </row>
    <row r="101" spans="1:22" x14ac:dyDescent="0.3">
      <c r="B101" s="30"/>
      <c r="O101" s="30"/>
    </row>
    <row r="102" spans="1:22" x14ac:dyDescent="0.3">
      <c r="A102" s="24" t="str">
        <f>CONCATENATE("Figure ", RIGHT(A98,LEN(A98)-6))</f>
        <v>Figure 25a. Persistence Rates from First to Second Year of College for Class of 2020, Student-Weighted Totals</v>
      </c>
      <c r="B102" s="30"/>
      <c r="N102" s="24" t="str">
        <f>CONCATENATE("Figure ", RIGHT(N98,LEN(N98)-6))</f>
        <v>Figure 25b. Persistence Rates from First to Second Year of College for Class of 2020, Student-Weighted Totals</v>
      </c>
      <c r="O102" s="30"/>
    </row>
    <row r="103" spans="1:22" x14ac:dyDescent="0.3">
      <c r="B103" s="30"/>
      <c r="O103" s="30"/>
    </row>
    <row r="104" spans="1:22" x14ac:dyDescent="0.3">
      <c r="B104" s="30"/>
      <c r="O104" s="30"/>
    </row>
    <row r="105" spans="1:22" x14ac:dyDescent="0.3">
      <c r="B105" s="30"/>
      <c r="O105" s="30"/>
    </row>
    <row r="106" spans="1:22" x14ac:dyDescent="0.3">
      <c r="B106" s="30"/>
      <c r="O106" s="30"/>
    </row>
    <row r="107" spans="1:22" x14ac:dyDescent="0.3">
      <c r="B107" s="30"/>
      <c r="O107" s="30"/>
    </row>
    <row r="108" spans="1:22" x14ac:dyDescent="0.3">
      <c r="B108" s="30"/>
      <c r="O108" s="30"/>
    </row>
    <row r="109" spans="1:22" x14ac:dyDescent="0.3">
      <c r="B109" s="30"/>
      <c r="O109" s="30"/>
    </row>
    <row r="110" spans="1:22" x14ac:dyDescent="0.3">
      <c r="B110" s="30"/>
      <c r="O110" s="30"/>
    </row>
    <row r="111" spans="1:22" x14ac:dyDescent="0.3">
      <c r="B111" s="30"/>
      <c r="O111" s="30"/>
    </row>
    <row r="112" spans="1:22" x14ac:dyDescent="0.3">
      <c r="B112" s="30"/>
      <c r="O112" s="30"/>
    </row>
    <row r="113" spans="1:22" x14ac:dyDescent="0.3">
      <c r="B113" s="30"/>
      <c r="O113" s="30"/>
    </row>
    <row r="114" spans="1:22" x14ac:dyDescent="0.3">
      <c r="B114" s="30"/>
      <c r="O114" s="30"/>
    </row>
    <row r="115" spans="1:22" x14ac:dyDescent="0.3">
      <c r="B115" s="30"/>
      <c r="O115" s="30"/>
    </row>
    <row r="116" spans="1:22" x14ac:dyDescent="0.3">
      <c r="B116" s="30"/>
      <c r="O116" s="30"/>
    </row>
    <row r="117" spans="1:22" x14ac:dyDescent="0.3">
      <c r="B117" s="30"/>
      <c r="O117" s="30"/>
    </row>
    <row r="118" spans="1:22" x14ac:dyDescent="0.3">
      <c r="B118" s="30"/>
      <c r="O118" s="30"/>
    </row>
    <row r="119" spans="1:22" x14ac:dyDescent="0.3">
      <c r="B119" s="30"/>
      <c r="O119" s="30"/>
    </row>
    <row r="120" spans="1:22" x14ac:dyDescent="0.3">
      <c r="B120" s="30"/>
      <c r="O120" s="30"/>
    </row>
    <row r="121" spans="1:22" x14ac:dyDescent="0.3">
      <c r="B121" s="30"/>
      <c r="O121" s="30"/>
    </row>
    <row r="122" spans="1:22" x14ac:dyDescent="0.3">
      <c r="A122" s="48" t="str">
        <f>CONCATENATE("Table 26a. Six-Year Completion Rates for Class of ",A124,", School Percentile Distribution")</f>
        <v>Table 26a. Six-Year Completion Rates for Class of 2016, School Percentile Distribution</v>
      </c>
      <c r="B122" s="30"/>
      <c r="N122" s="48" t="str">
        <f>CONCATENATE("Table 26b. Six-Year Completion Rates for Class of ",N124,", School Percentile Distribution")</f>
        <v>Table 26b. Six-Year Completion Rates for Class of 2016, School Percentile Distribution</v>
      </c>
      <c r="O122" s="30"/>
    </row>
    <row r="123" spans="1:22" ht="28.8" x14ac:dyDescent="0.3">
      <c r="A123" s="33"/>
      <c r="B123" s="34" t="s">
        <v>358</v>
      </c>
      <c r="C123" s="35" t="s">
        <v>359</v>
      </c>
      <c r="D123" s="35" t="s">
        <v>360</v>
      </c>
      <c r="E123" s="35" t="s">
        <v>361</v>
      </c>
      <c r="N123" s="33"/>
      <c r="O123" s="34" t="s">
        <v>358</v>
      </c>
      <c r="P123" s="35" t="s">
        <v>359</v>
      </c>
      <c r="Q123" s="35" t="s">
        <v>360</v>
      </c>
      <c r="R123" s="35" t="s">
        <v>361</v>
      </c>
    </row>
    <row r="124" spans="1:22" x14ac:dyDescent="0.3">
      <c r="A124" s="36">
        <v>2016</v>
      </c>
      <c r="B124" s="46">
        <v>1448</v>
      </c>
      <c r="C124" s="56">
        <v>0.13700000000000001</v>
      </c>
      <c r="D124" s="56">
        <v>0.222</v>
      </c>
      <c r="E124" s="56">
        <v>0.309</v>
      </c>
      <c r="N124" s="36">
        <v>2016</v>
      </c>
      <c r="O124" s="46">
        <v>2003</v>
      </c>
      <c r="P124" s="56">
        <v>0.48599999999999999</v>
      </c>
      <c r="Q124" s="56">
        <v>0.57399999999999995</v>
      </c>
      <c r="R124" s="56">
        <v>0.66700000000000004</v>
      </c>
    </row>
    <row r="125" spans="1:22" x14ac:dyDescent="0.3">
      <c r="B125" s="30"/>
      <c r="O125" s="30"/>
    </row>
    <row r="126" spans="1:22" x14ac:dyDescent="0.3">
      <c r="A126" s="48" t="str">
        <f>CONCATENATE("Table 27a. Six-Year Completion Rates for Class of ",A128, ", Student-Weighted Totals")</f>
        <v>Table 27a. Six-Year Completion Rates for Class of 2016, Student-Weighted Totals</v>
      </c>
      <c r="B126" s="30"/>
      <c r="N126" s="48" t="str">
        <f>CONCATENATE("Table 27b. Six-Year Completion Rates for Class of ",N128, ", Student-Weighted Totals")</f>
        <v>Table 27b. Six-Year Completion Rates for Class of 2016, Student-Weighted Totals</v>
      </c>
      <c r="O126" s="30"/>
    </row>
    <row r="127" spans="1:22" ht="28.8" x14ac:dyDescent="0.3">
      <c r="A127" s="33"/>
      <c r="B127" s="34" t="s">
        <v>362</v>
      </c>
      <c r="C127" s="35" t="s">
        <v>363</v>
      </c>
      <c r="D127" s="35" t="s">
        <v>34</v>
      </c>
      <c r="E127" s="35" t="s">
        <v>35</v>
      </c>
      <c r="F127" s="35" t="s">
        <v>364</v>
      </c>
      <c r="G127" s="35" t="s">
        <v>365</v>
      </c>
      <c r="H127" s="35" t="s">
        <v>366</v>
      </c>
      <c r="I127" s="35" t="s">
        <v>367</v>
      </c>
      <c r="N127" s="33"/>
      <c r="O127" s="34" t="s">
        <v>362</v>
      </c>
      <c r="P127" s="35" t="s">
        <v>363</v>
      </c>
      <c r="Q127" s="35" t="s">
        <v>34</v>
      </c>
      <c r="R127" s="35" t="s">
        <v>35</v>
      </c>
      <c r="S127" s="35" t="s">
        <v>364</v>
      </c>
      <c r="T127" s="35" t="s">
        <v>365</v>
      </c>
      <c r="U127" s="35" t="s">
        <v>366</v>
      </c>
      <c r="V127" s="35" t="s">
        <v>367</v>
      </c>
    </row>
    <row r="128" spans="1:22" x14ac:dyDescent="0.3">
      <c r="A128" s="36">
        <v>2016</v>
      </c>
      <c r="B128" s="47">
        <v>253242</v>
      </c>
      <c r="C128" s="55">
        <v>0.249</v>
      </c>
      <c r="D128" s="55">
        <v>0.21</v>
      </c>
      <c r="E128" s="55">
        <v>3.9E-2</v>
      </c>
      <c r="F128" s="55">
        <v>8.4000000000000005E-2</v>
      </c>
      <c r="G128" s="55">
        <v>0.16400000000000001</v>
      </c>
      <c r="H128" s="55">
        <v>0.224</v>
      </c>
      <c r="I128" s="55">
        <v>2.5000000000000001E-2</v>
      </c>
      <c r="N128" s="36">
        <v>2016</v>
      </c>
      <c r="O128" s="47">
        <v>531187</v>
      </c>
      <c r="P128" s="57">
        <v>0.59599999999999997</v>
      </c>
      <c r="Q128" s="57">
        <v>0.441</v>
      </c>
      <c r="R128" s="57">
        <v>0.155</v>
      </c>
      <c r="S128" s="57">
        <v>8.5999999999999993E-2</v>
      </c>
      <c r="T128" s="57">
        <v>0.51</v>
      </c>
      <c r="U128" s="57">
        <v>0.40500000000000003</v>
      </c>
      <c r="V128" s="57">
        <v>0.192</v>
      </c>
    </row>
    <row r="129" spans="1:15" x14ac:dyDescent="0.3">
      <c r="B129" s="30"/>
      <c r="O129" s="30"/>
    </row>
    <row r="130" spans="1:15" x14ac:dyDescent="0.3">
      <c r="A130" s="24" t="str">
        <f>CONCATENATE("Figure ", RIGHT(A126,LEN(A126)-6))</f>
        <v>Figure 27a. Six-Year Completion Rates for Class of 2016, Student-Weighted Totals</v>
      </c>
      <c r="B130" s="30"/>
      <c r="N130" s="24" t="str">
        <f>CONCATENATE("Figure ", RIGHT(N126,LEN(N126)-6))</f>
        <v>Figure 27b. Six-Year Completion Rates for Class of 2016, Student-Weighted Totals</v>
      </c>
      <c r="O130" s="30"/>
    </row>
    <row r="131" spans="1:15" x14ac:dyDescent="0.3">
      <c r="B131" s="30"/>
      <c r="O131" s="30"/>
    </row>
    <row r="132" spans="1:15" x14ac:dyDescent="0.3">
      <c r="B132" s="30"/>
      <c r="O132" s="30"/>
    </row>
    <row r="133" spans="1:15" x14ac:dyDescent="0.3">
      <c r="B133" s="30"/>
      <c r="O133" s="30"/>
    </row>
    <row r="134" spans="1:15" x14ac:dyDescent="0.3">
      <c r="B134" s="30"/>
      <c r="O134" s="30"/>
    </row>
    <row r="135" spans="1:15" x14ac:dyDescent="0.3">
      <c r="B135" s="30"/>
      <c r="O135" s="30"/>
    </row>
    <row r="136" spans="1:15" x14ac:dyDescent="0.3">
      <c r="B136" s="30"/>
      <c r="O136" s="30"/>
    </row>
    <row r="137" spans="1:15" x14ac:dyDescent="0.3">
      <c r="B137" s="30"/>
      <c r="O137" s="30"/>
    </row>
    <row r="138" spans="1:15" x14ac:dyDescent="0.3">
      <c r="B138" s="30"/>
      <c r="O138" s="30"/>
    </row>
    <row r="139" spans="1:15" x14ac:dyDescent="0.3">
      <c r="B139" s="30"/>
      <c r="O139" s="30"/>
    </row>
    <row r="140" spans="1:15" x14ac:dyDescent="0.3">
      <c r="B140" s="30"/>
      <c r="O140" s="30"/>
    </row>
    <row r="141" spans="1:15" x14ac:dyDescent="0.3">
      <c r="B141" s="30"/>
      <c r="O141" s="30"/>
    </row>
    <row r="142" spans="1:15" x14ac:dyDescent="0.3">
      <c r="B142" s="30"/>
      <c r="O142" s="30"/>
    </row>
    <row r="143" spans="1:15" x14ac:dyDescent="0.3">
      <c r="B143" s="30"/>
      <c r="O143" s="30"/>
    </row>
    <row r="144" spans="1:15" x14ac:dyDescent="0.3">
      <c r="B144" s="30"/>
      <c r="O144" s="30"/>
    </row>
    <row r="145" spans="2:15" x14ac:dyDescent="0.3">
      <c r="B145" s="30"/>
      <c r="O145" s="30"/>
    </row>
    <row r="146" spans="2:15" x14ac:dyDescent="0.3">
      <c r="B146" s="30"/>
      <c r="O146" s="30"/>
    </row>
    <row r="147" spans="2:15" x14ac:dyDescent="0.3">
      <c r="B147" s="30"/>
      <c r="O147" s="30"/>
    </row>
    <row r="148" spans="2:15" x14ac:dyDescent="0.3">
      <c r="B148" s="30"/>
      <c r="O148" s="30"/>
    </row>
  </sheetData>
  <mergeCells count="2">
    <mergeCell ref="A2:L2"/>
    <mergeCell ref="N2:Y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1AA44-18BA-4FAB-8F8C-2AA70C36E884}">
  <dimension ref="A1:Y148"/>
  <sheetViews>
    <sheetView zoomScale="80" zoomScaleNormal="80" workbookViewId="0">
      <pane ySplit="2" topLeftCell="A3" activePane="bottomLeft" state="frozen"/>
      <selection activeCell="A61" sqref="A61:A62"/>
      <selection pane="bottomLeft"/>
    </sheetView>
  </sheetViews>
  <sheetFormatPr defaultRowHeight="14.4" x14ac:dyDescent="0.3"/>
  <cols>
    <col min="2" max="9" width="10.6640625" customWidth="1"/>
    <col min="15" max="22" width="10.6640625" customWidth="1"/>
  </cols>
  <sheetData>
    <row r="1" spans="1:25" ht="28.8" x14ac:dyDescent="0.3">
      <c r="A1" s="87" t="s">
        <v>396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</row>
    <row r="2" spans="1:25" s="89" customFormat="1" ht="18" x14ac:dyDescent="0.35">
      <c r="A2" s="106" t="s">
        <v>369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88"/>
      <c r="N2" s="106" t="s">
        <v>390</v>
      </c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</row>
    <row r="3" spans="1:25" x14ac:dyDescent="0.3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2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5" x14ac:dyDescent="0.3">
      <c r="A4" s="24" t="str">
        <f>CONCATENATE("Table 28a. College Enrollment Rates in the First Fall after High School Graduation for Classes ",A6," and ",A7,", School Percentile Distribution")</f>
        <v>Table 28a. College Enrollment Rates in the First Fall after High School Graduation for Classes 2021 and 2022, School Percentile Distribution</v>
      </c>
      <c r="B4" s="30"/>
      <c r="N4" s="24" t="str">
        <f>CONCATENATE("Table 28b. College Enrollment Rates in the First Fall after High School Graduation for Classes ",N6," and ",N7,", School Percentile Distribution")</f>
        <v>Table 28b. College Enrollment Rates in the First Fall after High School Graduation for Classes 2021 and 2022, School Percentile Distribution</v>
      </c>
      <c r="O4" s="30"/>
    </row>
    <row r="5" spans="1:25" ht="28.8" x14ac:dyDescent="0.3">
      <c r="A5" s="33"/>
      <c r="B5" s="34" t="s">
        <v>358</v>
      </c>
      <c r="C5" s="35" t="s">
        <v>359</v>
      </c>
      <c r="D5" s="35" t="s">
        <v>360</v>
      </c>
      <c r="E5" s="35" t="s">
        <v>361</v>
      </c>
      <c r="N5" s="33"/>
      <c r="O5" s="34" t="s">
        <v>358</v>
      </c>
      <c r="P5" s="35" t="s">
        <v>359</v>
      </c>
      <c r="Q5" s="35" t="s">
        <v>360</v>
      </c>
      <c r="R5" s="35" t="s">
        <v>361</v>
      </c>
    </row>
    <row r="6" spans="1:25" x14ac:dyDescent="0.3">
      <c r="A6" s="36">
        <v>2021</v>
      </c>
      <c r="B6" s="34">
        <v>2929</v>
      </c>
      <c r="C6" s="55">
        <v>0.379</v>
      </c>
      <c r="D6" s="55">
        <v>0.49</v>
      </c>
      <c r="E6" s="55">
        <v>0.6</v>
      </c>
      <c r="G6" s="31"/>
      <c r="I6" s="31"/>
      <c r="J6" s="49"/>
      <c r="N6" s="36">
        <v>2021</v>
      </c>
      <c r="O6" s="34">
        <v>6783</v>
      </c>
      <c r="P6" s="55">
        <v>0.45200000000000001</v>
      </c>
      <c r="Q6" s="55">
        <v>0.58199999999999996</v>
      </c>
      <c r="R6" s="55">
        <v>0.70399999999999996</v>
      </c>
      <c r="T6" s="31"/>
      <c r="V6" s="31"/>
    </row>
    <row r="7" spans="1:25" x14ac:dyDescent="0.3">
      <c r="A7" s="36">
        <v>2022</v>
      </c>
      <c r="B7" s="34">
        <v>2555</v>
      </c>
      <c r="C7" s="55">
        <v>0.38600000000000001</v>
      </c>
      <c r="D7" s="55">
        <v>0.498</v>
      </c>
      <c r="E7" s="55">
        <v>0.61899999999999999</v>
      </c>
      <c r="N7" s="36">
        <v>2022</v>
      </c>
      <c r="O7" s="34">
        <v>5943</v>
      </c>
      <c r="P7" s="55">
        <v>0.45600000000000002</v>
      </c>
      <c r="Q7" s="55">
        <v>0.57899999999999996</v>
      </c>
      <c r="R7" s="55">
        <v>0.70199999999999996</v>
      </c>
    </row>
    <row r="8" spans="1:25" x14ac:dyDescent="0.3">
      <c r="B8" s="30"/>
      <c r="O8" s="30"/>
    </row>
    <row r="9" spans="1:25" x14ac:dyDescent="0.3">
      <c r="A9" s="24" t="str">
        <f>CONCATENATE("Table 29a. College Enrollment Rates in the First Fall after High School Graduation for Classes ",A11," and ",A12,", Student-Weighted Totals")</f>
        <v>Table 29a. College Enrollment Rates in the First Fall after High School Graduation for Classes 2021 and 2022, Student-Weighted Totals</v>
      </c>
      <c r="B9" s="30"/>
      <c r="N9" s="24" t="str">
        <f>CONCATENATE("Table 29b. College Enrollment Rates in the First Fall after High School Graduation for Classes ",N11," and ",N12,", Student-Weighted Totals")</f>
        <v>Table 29b. College Enrollment Rates in the First Fall after High School Graduation for Classes 2021 and 2022, Student-Weighted Totals</v>
      </c>
      <c r="O9" s="30"/>
    </row>
    <row r="10" spans="1:25" ht="28.8" x14ac:dyDescent="0.3">
      <c r="A10" s="33"/>
      <c r="B10" s="34" t="s">
        <v>362</v>
      </c>
      <c r="C10" s="35" t="s">
        <v>363</v>
      </c>
      <c r="D10" s="35" t="s">
        <v>34</v>
      </c>
      <c r="E10" s="35" t="s">
        <v>35</v>
      </c>
      <c r="F10" s="35" t="s">
        <v>364</v>
      </c>
      <c r="G10" s="35" t="s">
        <v>365</v>
      </c>
      <c r="H10" s="35" t="s">
        <v>366</v>
      </c>
      <c r="I10" s="35" t="s">
        <v>367</v>
      </c>
      <c r="J10" s="21"/>
      <c r="N10" s="33"/>
      <c r="O10" s="34" t="s">
        <v>362</v>
      </c>
      <c r="P10" s="35" t="s">
        <v>363</v>
      </c>
      <c r="Q10" s="35" t="s">
        <v>34</v>
      </c>
      <c r="R10" s="35" t="s">
        <v>35</v>
      </c>
      <c r="S10" s="35" t="s">
        <v>364</v>
      </c>
      <c r="T10" s="35" t="s">
        <v>365</v>
      </c>
      <c r="U10" s="35" t="s">
        <v>366</v>
      </c>
      <c r="V10" s="35" t="s">
        <v>367</v>
      </c>
    </row>
    <row r="11" spans="1:25" x14ac:dyDescent="0.3">
      <c r="A11" s="36">
        <v>2021</v>
      </c>
      <c r="B11" s="34">
        <v>576748</v>
      </c>
      <c r="C11" s="55">
        <v>0.497</v>
      </c>
      <c r="D11" s="55">
        <v>0.437</v>
      </c>
      <c r="E11" s="55">
        <v>6.0999999999999999E-2</v>
      </c>
      <c r="F11" s="55">
        <v>0.20899999999999999</v>
      </c>
      <c r="G11" s="55">
        <v>0.28799999999999998</v>
      </c>
      <c r="H11" s="55">
        <v>0.44400000000000001</v>
      </c>
      <c r="I11" s="55">
        <v>5.2999999999999999E-2</v>
      </c>
      <c r="N11" s="36">
        <v>2021</v>
      </c>
      <c r="O11" s="34">
        <v>1346415</v>
      </c>
      <c r="P11" s="55">
        <v>0.622</v>
      </c>
      <c r="Q11" s="55">
        <v>0.49099999999999999</v>
      </c>
      <c r="R11" s="55">
        <v>0.13100000000000001</v>
      </c>
      <c r="S11" s="55">
        <v>0.16900000000000001</v>
      </c>
      <c r="T11" s="55">
        <v>0.45300000000000001</v>
      </c>
      <c r="U11" s="55">
        <v>0.46300000000000002</v>
      </c>
      <c r="V11" s="55">
        <v>0.159</v>
      </c>
    </row>
    <row r="12" spans="1:25" x14ac:dyDescent="0.3">
      <c r="A12" s="36">
        <v>2022</v>
      </c>
      <c r="B12" s="34">
        <v>536120</v>
      </c>
      <c r="C12" s="55">
        <v>0.52400000000000002</v>
      </c>
      <c r="D12" s="55">
        <v>0.46100000000000002</v>
      </c>
      <c r="E12" s="55">
        <v>6.3E-2</v>
      </c>
      <c r="F12" s="55">
        <v>0.23100000000000001</v>
      </c>
      <c r="G12" s="55">
        <v>0.29299999999999998</v>
      </c>
      <c r="H12" s="55">
        <v>0.47299999999999998</v>
      </c>
      <c r="I12" s="55">
        <v>5.0999999999999997E-2</v>
      </c>
      <c r="N12" s="36">
        <v>2022</v>
      </c>
      <c r="O12" s="34">
        <v>1178808</v>
      </c>
      <c r="P12" s="55">
        <v>0.63200000000000001</v>
      </c>
      <c r="Q12" s="55">
        <v>0.5</v>
      </c>
      <c r="R12" s="55">
        <v>0.13200000000000001</v>
      </c>
      <c r="S12" s="55">
        <v>0.16400000000000001</v>
      </c>
      <c r="T12" s="55">
        <v>0.46800000000000003</v>
      </c>
      <c r="U12" s="55">
        <v>0.46700000000000003</v>
      </c>
      <c r="V12" s="55">
        <v>0.16500000000000001</v>
      </c>
    </row>
    <row r="13" spans="1:25" x14ac:dyDescent="0.3">
      <c r="B13" s="30"/>
      <c r="O13" s="30"/>
    </row>
    <row r="14" spans="1:25" x14ac:dyDescent="0.3">
      <c r="A14" s="24" t="str">
        <f>CONCATENATE("Figure ", RIGHT(A9,LEN(A9)-6))</f>
        <v>Figure 29a. College Enrollment Rates in the First Fall after High School Graduation for Classes 2021 and 2022, Student-Weighted Totals</v>
      </c>
      <c r="B14" s="30"/>
      <c r="N14" s="24" t="str">
        <f>CONCATENATE("Figure ", RIGHT(N9,LEN(N9)-6))</f>
        <v>Figure 29b. College Enrollment Rates in the First Fall after High School Graduation for Classes 2021 and 2022, Student-Weighted Totals</v>
      </c>
      <c r="O14" s="30"/>
    </row>
    <row r="15" spans="1:25" x14ac:dyDescent="0.3">
      <c r="B15" s="30"/>
      <c r="O15" s="30"/>
    </row>
    <row r="16" spans="1:25" x14ac:dyDescent="0.3">
      <c r="B16" s="30"/>
      <c r="J16" s="49"/>
      <c r="O16" s="30"/>
    </row>
    <row r="17" spans="2:15" x14ac:dyDescent="0.3">
      <c r="B17" s="30"/>
      <c r="O17" s="30"/>
    </row>
    <row r="18" spans="2:15" x14ac:dyDescent="0.3">
      <c r="B18" s="30"/>
      <c r="O18" s="30"/>
    </row>
    <row r="19" spans="2:15" x14ac:dyDescent="0.3">
      <c r="B19" s="30"/>
      <c r="O19" s="30"/>
    </row>
    <row r="20" spans="2:15" x14ac:dyDescent="0.3">
      <c r="B20" s="30"/>
      <c r="O20" s="30"/>
    </row>
    <row r="21" spans="2:15" x14ac:dyDescent="0.3">
      <c r="B21" s="30"/>
      <c r="J21" s="21"/>
      <c r="O21" s="30"/>
    </row>
    <row r="22" spans="2:15" x14ac:dyDescent="0.3">
      <c r="B22" s="30"/>
      <c r="O22" s="30"/>
    </row>
    <row r="23" spans="2:15" x14ac:dyDescent="0.3">
      <c r="B23" s="30"/>
      <c r="O23" s="30"/>
    </row>
    <row r="24" spans="2:15" x14ac:dyDescent="0.3">
      <c r="B24" s="30"/>
      <c r="O24" s="30"/>
    </row>
    <row r="25" spans="2:15" x14ac:dyDescent="0.3">
      <c r="B25" s="30"/>
      <c r="O25" s="30"/>
    </row>
    <row r="26" spans="2:15" x14ac:dyDescent="0.3">
      <c r="B26" s="30"/>
      <c r="O26" s="30"/>
    </row>
    <row r="27" spans="2:15" x14ac:dyDescent="0.3">
      <c r="B27" s="30"/>
      <c r="O27" s="30"/>
    </row>
    <row r="28" spans="2:15" x14ac:dyDescent="0.3">
      <c r="B28" s="30"/>
      <c r="O28" s="30"/>
    </row>
    <row r="29" spans="2:15" x14ac:dyDescent="0.3">
      <c r="B29" s="30"/>
      <c r="O29" s="30"/>
    </row>
    <row r="30" spans="2:15" x14ac:dyDescent="0.3">
      <c r="B30" s="30"/>
      <c r="O30" s="30"/>
    </row>
    <row r="31" spans="2:15" x14ac:dyDescent="0.3">
      <c r="B31" s="30"/>
      <c r="O31" s="30"/>
    </row>
    <row r="32" spans="2:15" x14ac:dyDescent="0.3">
      <c r="B32" s="30"/>
      <c r="O32" s="30"/>
    </row>
    <row r="33" spans="1:22" x14ac:dyDescent="0.3">
      <c r="B33" s="30"/>
      <c r="O33" s="30"/>
    </row>
    <row r="34" spans="1:22" x14ac:dyDescent="0.3">
      <c r="A34" s="48" t="str">
        <f>CONCATENATE("Table 30a. College Enrollment Rates in the First Year after High School Graduation for Classes ",A36," and ",A37,", School Percentile Distribution")</f>
        <v>Table 30a. College Enrollment Rates in the First Year after High School Graduation for Classes 2020 and 2021, School Percentile Distribution</v>
      </c>
      <c r="B34" s="30"/>
      <c r="N34" s="48" t="str">
        <f>CONCATENATE("Table 30b. College Enrollment Rates in the First Year after High School Graduation for Classes ",N36," and ",N37,", School Percentile Distribution")</f>
        <v>Table 30b. College Enrollment Rates in the First Year after High School Graduation for Classes 2020 and 2021, School Percentile Distribution</v>
      </c>
      <c r="O34" s="30"/>
    </row>
    <row r="35" spans="1:22" ht="28.8" x14ac:dyDescent="0.3">
      <c r="A35" s="33"/>
      <c r="B35" s="34" t="s">
        <v>358</v>
      </c>
      <c r="C35" s="34" t="s">
        <v>359</v>
      </c>
      <c r="D35" s="34" t="s">
        <v>360</v>
      </c>
      <c r="E35" s="34" t="s">
        <v>361</v>
      </c>
      <c r="N35" s="33"/>
      <c r="O35" s="34" t="s">
        <v>358</v>
      </c>
      <c r="P35" s="34" t="s">
        <v>359</v>
      </c>
      <c r="Q35" s="34" t="s">
        <v>360</v>
      </c>
      <c r="R35" s="34" t="s">
        <v>361</v>
      </c>
    </row>
    <row r="36" spans="1:22" x14ac:dyDescent="0.3">
      <c r="A36" s="36">
        <v>2020</v>
      </c>
      <c r="B36" s="34">
        <v>3637</v>
      </c>
      <c r="C36" s="55">
        <v>0.41199999999999998</v>
      </c>
      <c r="D36" s="55">
        <v>0.52100000000000002</v>
      </c>
      <c r="E36" s="55">
        <v>0.63400000000000001</v>
      </c>
      <c r="N36" s="36">
        <v>2020</v>
      </c>
      <c r="O36" s="34">
        <v>6235</v>
      </c>
      <c r="P36" s="55">
        <v>0.51900000000000002</v>
      </c>
      <c r="Q36" s="55">
        <v>0.63800000000000001</v>
      </c>
      <c r="R36" s="55">
        <v>0.75</v>
      </c>
    </row>
    <row r="37" spans="1:22" x14ac:dyDescent="0.3">
      <c r="A37" s="36">
        <v>2021</v>
      </c>
      <c r="B37" s="34">
        <v>2929</v>
      </c>
      <c r="C37" s="55">
        <v>0.41399999999999998</v>
      </c>
      <c r="D37" s="55">
        <v>0.52500000000000002</v>
      </c>
      <c r="E37" s="55">
        <v>0.63700000000000001</v>
      </c>
      <c r="N37" s="36">
        <v>2021</v>
      </c>
      <c r="O37" s="34">
        <v>6783</v>
      </c>
      <c r="P37" s="55">
        <v>0.48499999999999999</v>
      </c>
      <c r="Q37" s="55">
        <v>0.60899999999999999</v>
      </c>
      <c r="R37" s="55">
        <v>0.73</v>
      </c>
    </row>
    <row r="38" spans="1:22" x14ac:dyDescent="0.3">
      <c r="B38" s="30"/>
      <c r="O38" s="30"/>
    </row>
    <row r="39" spans="1:22" x14ac:dyDescent="0.3">
      <c r="A39" s="48" t="str">
        <f>CONCATENATE("Table 31a. College Enrollment Rates in the First Year after High School Graduation for Classes ",A41," and ",A42,", Student-Weighted Totals")</f>
        <v>Table 31a. College Enrollment Rates in the First Year after High School Graduation for Classes 2020 and 2021, Student-Weighted Totals</v>
      </c>
      <c r="B39" s="30"/>
      <c r="N39" s="48" t="str">
        <f>CONCATENATE("Table 31b. College Enrollment Rates in the First Year after High School Graduation for Classes ",N41," and ",N42,", Student-Weighted Totals")</f>
        <v>Table 31b. College Enrollment Rates in the First Year after High School Graduation for Classes 2020 and 2021, Student-Weighted Totals</v>
      </c>
      <c r="O39" s="30"/>
    </row>
    <row r="40" spans="1:22" ht="28.8" x14ac:dyDescent="0.3">
      <c r="A40" s="33"/>
      <c r="B40" s="34" t="s">
        <v>362</v>
      </c>
      <c r="C40" s="35" t="s">
        <v>363</v>
      </c>
      <c r="D40" s="35" t="s">
        <v>34</v>
      </c>
      <c r="E40" s="35" t="s">
        <v>35</v>
      </c>
      <c r="F40" s="35" t="s">
        <v>364</v>
      </c>
      <c r="G40" s="35" t="s">
        <v>365</v>
      </c>
      <c r="H40" s="35" t="s">
        <v>366</v>
      </c>
      <c r="I40" s="35" t="s">
        <v>367</v>
      </c>
      <c r="N40" s="33"/>
      <c r="O40" s="34" t="s">
        <v>362</v>
      </c>
      <c r="P40" s="35" t="s">
        <v>363</v>
      </c>
      <c r="Q40" s="35" t="s">
        <v>34</v>
      </c>
      <c r="R40" s="35" t="s">
        <v>35</v>
      </c>
      <c r="S40" s="35" t="s">
        <v>364</v>
      </c>
      <c r="T40" s="35" t="s">
        <v>365</v>
      </c>
      <c r="U40" s="35" t="s">
        <v>366</v>
      </c>
      <c r="V40" s="35" t="s">
        <v>367</v>
      </c>
    </row>
    <row r="41" spans="1:22" x14ac:dyDescent="0.3">
      <c r="A41" s="36">
        <v>2020</v>
      </c>
      <c r="B41" s="34">
        <v>747820</v>
      </c>
      <c r="C41" s="55">
        <v>0.54600000000000004</v>
      </c>
      <c r="D41" s="55">
        <v>0.47699999999999998</v>
      </c>
      <c r="E41" s="55">
        <v>6.9000000000000006E-2</v>
      </c>
      <c r="F41" s="55">
        <v>0.251</v>
      </c>
      <c r="G41" s="55">
        <v>0.29499999999999998</v>
      </c>
      <c r="H41" s="55">
        <v>0.49099999999999999</v>
      </c>
      <c r="I41" s="55">
        <v>5.5E-2</v>
      </c>
      <c r="N41" s="36">
        <v>2020</v>
      </c>
      <c r="O41" s="34">
        <v>1313283</v>
      </c>
      <c r="P41" s="55">
        <v>0.67300000000000004</v>
      </c>
      <c r="Q41" s="55">
        <v>0.53600000000000003</v>
      </c>
      <c r="R41" s="55">
        <v>0.13700000000000001</v>
      </c>
      <c r="S41" s="55">
        <v>0.19900000000000001</v>
      </c>
      <c r="T41" s="55">
        <v>0.47499999999999998</v>
      </c>
      <c r="U41" s="55">
        <v>0.51700000000000002</v>
      </c>
      <c r="V41" s="55">
        <v>0.156</v>
      </c>
    </row>
    <row r="42" spans="1:22" x14ac:dyDescent="0.3">
      <c r="A42" s="36">
        <v>2021</v>
      </c>
      <c r="B42" s="34">
        <v>576748</v>
      </c>
      <c r="C42" s="55">
        <v>0.53700000000000003</v>
      </c>
      <c r="D42" s="55">
        <v>0.47</v>
      </c>
      <c r="E42" s="55">
        <v>6.6000000000000003E-2</v>
      </c>
      <c r="F42" s="55">
        <v>0.23200000000000001</v>
      </c>
      <c r="G42" s="55">
        <v>0.30499999999999999</v>
      </c>
      <c r="H42" s="55">
        <v>0.47799999999999998</v>
      </c>
      <c r="I42" s="55">
        <v>5.8000000000000003E-2</v>
      </c>
      <c r="N42" s="36">
        <v>2021</v>
      </c>
      <c r="O42" s="34">
        <v>1346415</v>
      </c>
      <c r="P42" s="55">
        <v>0.65</v>
      </c>
      <c r="Q42" s="55">
        <v>0.51400000000000001</v>
      </c>
      <c r="R42" s="55">
        <v>0.13600000000000001</v>
      </c>
      <c r="S42" s="55">
        <v>0.183</v>
      </c>
      <c r="T42" s="55">
        <v>0.46800000000000003</v>
      </c>
      <c r="U42" s="55">
        <v>0.48599999999999999</v>
      </c>
      <c r="V42" s="55">
        <v>0.16500000000000001</v>
      </c>
    </row>
    <row r="43" spans="1:22" x14ac:dyDescent="0.3">
      <c r="B43" s="30"/>
      <c r="O43" s="30"/>
    </row>
    <row r="44" spans="1:22" x14ac:dyDescent="0.3">
      <c r="A44" s="24" t="str">
        <f>CONCATENATE("Figure ", RIGHT(A39,LEN(A39)-6))</f>
        <v>Figure 31a. College Enrollment Rates in the First Year after High School Graduation for Classes 2020 and 2021, Student-Weighted Totals</v>
      </c>
      <c r="B44" s="30"/>
      <c r="N44" s="24" t="str">
        <f>CONCATENATE("Figure ", RIGHT(N39,LEN(N39)-6))</f>
        <v>Figure 31b. College Enrollment Rates in the First Year after High School Graduation for Classes 2020 and 2021, Student-Weighted Totals</v>
      </c>
      <c r="O44" s="30"/>
    </row>
    <row r="45" spans="1:22" x14ac:dyDescent="0.3">
      <c r="B45" s="30"/>
      <c r="O45" s="30"/>
    </row>
    <row r="46" spans="1:22" x14ac:dyDescent="0.3">
      <c r="B46" s="30"/>
      <c r="O46" s="30"/>
    </row>
    <row r="47" spans="1:22" x14ac:dyDescent="0.3">
      <c r="B47" s="30"/>
      <c r="O47" s="30"/>
    </row>
    <row r="48" spans="1:22" x14ac:dyDescent="0.3">
      <c r="B48" s="30"/>
      <c r="O48" s="30"/>
    </row>
    <row r="49" spans="1:15" x14ac:dyDescent="0.3">
      <c r="B49" s="30"/>
      <c r="O49" s="30"/>
    </row>
    <row r="50" spans="1:15" x14ac:dyDescent="0.3">
      <c r="B50" s="30"/>
      <c r="O50" s="30"/>
    </row>
    <row r="51" spans="1:15" x14ac:dyDescent="0.3">
      <c r="B51" s="30"/>
      <c r="J51" s="21"/>
      <c r="O51" s="30"/>
    </row>
    <row r="52" spans="1:15" x14ac:dyDescent="0.3">
      <c r="B52" s="30"/>
      <c r="O52" s="30"/>
    </row>
    <row r="53" spans="1:15" x14ac:dyDescent="0.3">
      <c r="B53" s="30"/>
      <c r="O53" s="30"/>
    </row>
    <row r="54" spans="1:15" x14ac:dyDescent="0.3">
      <c r="B54" s="30"/>
      <c r="J54" s="50"/>
      <c r="O54" s="30"/>
    </row>
    <row r="55" spans="1:15" x14ac:dyDescent="0.3">
      <c r="B55" s="30"/>
      <c r="O55" s="30"/>
    </row>
    <row r="56" spans="1:15" x14ac:dyDescent="0.3">
      <c r="B56" s="30"/>
      <c r="O56" s="30"/>
    </row>
    <row r="57" spans="1:15" x14ac:dyDescent="0.3">
      <c r="B57" s="30"/>
      <c r="O57" s="30"/>
    </row>
    <row r="58" spans="1:15" x14ac:dyDescent="0.3">
      <c r="B58" s="30"/>
      <c r="O58" s="30"/>
    </row>
    <row r="59" spans="1:15" x14ac:dyDescent="0.3">
      <c r="B59" s="30"/>
      <c r="O59" s="30"/>
    </row>
    <row r="60" spans="1:15" x14ac:dyDescent="0.3">
      <c r="B60" s="30"/>
      <c r="O60" s="30"/>
    </row>
    <row r="61" spans="1:15" x14ac:dyDescent="0.3">
      <c r="B61" s="30"/>
      <c r="O61" s="30"/>
    </row>
    <row r="62" spans="1:15" x14ac:dyDescent="0.3">
      <c r="B62" s="30"/>
      <c r="O62" s="30"/>
    </row>
    <row r="63" spans="1:15" x14ac:dyDescent="0.3">
      <c r="B63" s="30"/>
      <c r="O63" s="30"/>
    </row>
    <row r="64" spans="1:15" x14ac:dyDescent="0.3">
      <c r="A64" s="48" t="str">
        <f>CONCATENATE("Table 32a. College Enrollment Rates in the First Two Years after High School Graduation for Classes ",A66," and ",A67,", School Percentile Distribution")</f>
        <v>Table 32a. College Enrollment Rates in the First Two Years after High School Graduation for Classes 2019 and 2020, School Percentile Distribution</v>
      </c>
      <c r="B64" s="30"/>
      <c r="N64" s="48" t="str">
        <f>CONCATENATE("Table 32b. College Enrollment Rates in the First Two Years after High School Graduation for Classes ",N66," and ",N67,", School Percentile Distribution")</f>
        <v>Table 32b. College Enrollment Rates in the First Two Years after High School Graduation for Classes 2019 and 2020, School Percentile Distribution</v>
      </c>
      <c r="O64" s="30"/>
    </row>
    <row r="65" spans="1:22" ht="28.8" x14ac:dyDescent="0.3">
      <c r="A65" s="33"/>
      <c r="B65" s="34" t="s">
        <v>358</v>
      </c>
      <c r="C65" s="35" t="s">
        <v>359</v>
      </c>
      <c r="D65" s="35" t="s">
        <v>360</v>
      </c>
      <c r="E65" s="35" t="s">
        <v>361</v>
      </c>
      <c r="N65" s="33"/>
      <c r="O65" s="34" t="s">
        <v>358</v>
      </c>
      <c r="P65" s="35" t="s">
        <v>359</v>
      </c>
      <c r="Q65" s="35" t="s">
        <v>360</v>
      </c>
      <c r="R65" s="35" t="s">
        <v>361</v>
      </c>
    </row>
    <row r="66" spans="1:22" x14ac:dyDescent="0.3">
      <c r="A66" s="36">
        <v>2019</v>
      </c>
      <c r="B66" s="34">
        <v>3649</v>
      </c>
      <c r="C66" s="55">
        <v>0.5</v>
      </c>
      <c r="D66" s="55">
        <v>0.60899999999999999</v>
      </c>
      <c r="E66" s="55">
        <v>0.71499999999999997</v>
      </c>
      <c r="N66" s="36">
        <v>2019</v>
      </c>
      <c r="O66" s="34">
        <v>6250</v>
      </c>
      <c r="P66" s="55">
        <v>0.6</v>
      </c>
      <c r="Q66" s="55">
        <v>0.70799999999999996</v>
      </c>
      <c r="R66" s="55">
        <v>0.81</v>
      </c>
    </row>
    <row r="67" spans="1:22" x14ac:dyDescent="0.3">
      <c r="A67" s="36">
        <v>2020</v>
      </c>
      <c r="B67" s="34">
        <v>3637</v>
      </c>
      <c r="C67" s="55">
        <v>0.45300000000000001</v>
      </c>
      <c r="D67" s="55">
        <v>0.56100000000000005</v>
      </c>
      <c r="E67" s="55">
        <v>0.67100000000000004</v>
      </c>
      <c r="N67" s="36">
        <v>2020</v>
      </c>
      <c r="O67" s="34">
        <v>6235</v>
      </c>
      <c r="P67" s="55">
        <v>0.55900000000000005</v>
      </c>
      <c r="Q67" s="55">
        <v>0.67500000000000004</v>
      </c>
      <c r="R67" s="55">
        <v>0.78600000000000003</v>
      </c>
    </row>
    <row r="68" spans="1:22" x14ac:dyDescent="0.3">
      <c r="B68" s="30"/>
      <c r="O68" s="30"/>
    </row>
    <row r="69" spans="1:22" x14ac:dyDescent="0.3">
      <c r="A69" s="48" t="str">
        <f>CONCATENATE("Table 33a. College Enrollment Rates in the First Two Years after High School Graduation for Classes ",A71," and ",A72,", Student-Weighted Totals")</f>
        <v>Table 33a. College Enrollment Rates in the First Two Years after High School Graduation for Classes 2019 and 2020, Student-Weighted Totals</v>
      </c>
      <c r="B69" s="30"/>
      <c r="N69" s="48" t="str">
        <f>CONCATENATE("Table 33b. College Enrollment Rates in the First Two Years after High School Graduation for Classes ",N71," and ",N72,", Student-Weighted Totals")</f>
        <v>Table 33b. College Enrollment Rates in the First Two Years after High School Graduation for Classes 2019 and 2020, Student-Weighted Totals</v>
      </c>
      <c r="O69" s="30"/>
    </row>
    <row r="70" spans="1:22" ht="28.8" x14ac:dyDescent="0.3">
      <c r="A70" s="33"/>
      <c r="B70" s="34" t="s">
        <v>362</v>
      </c>
      <c r="C70" s="35" t="s">
        <v>363</v>
      </c>
      <c r="D70" s="35" t="s">
        <v>34</v>
      </c>
      <c r="E70" s="35" t="s">
        <v>35</v>
      </c>
      <c r="F70" s="35" t="s">
        <v>364</v>
      </c>
      <c r="G70" s="35" t="s">
        <v>365</v>
      </c>
      <c r="H70" s="35" t="s">
        <v>366</v>
      </c>
      <c r="I70" s="35" t="s">
        <v>367</v>
      </c>
      <c r="N70" s="33"/>
      <c r="O70" s="34" t="s">
        <v>362</v>
      </c>
      <c r="P70" s="35" t="s">
        <v>363</v>
      </c>
      <c r="Q70" s="35" t="s">
        <v>34</v>
      </c>
      <c r="R70" s="35" t="s">
        <v>35</v>
      </c>
      <c r="S70" s="35" t="s">
        <v>364</v>
      </c>
      <c r="T70" s="35" t="s">
        <v>365</v>
      </c>
      <c r="U70" s="35" t="s">
        <v>366</v>
      </c>
      <c r="V70" s="35" t="s">
        <v>367</v>
      </c>
    </row>
    <row r="71" spans="1:22" x14ac:dyDescent="0.3">
      <c r="A71" s="36">
        <v>2019</v>
      </c>
      <c r="B71" s="34">
        <v>753731</v>
      </c>
      <c r="C71" s="55">
        <v>0.63100000000000001</v>
      </c>
      <c r="D71" s="55">
        <v>0.55700000000000005</v>
      </c>
      <c r="E71" s="55">
        <v>7.3999999999999996E-2</v>
      </c>
      <c r="F71" s="55">
        <v>0.313</v>
      </c>
      <c r="G71" s="55">
        <v>0.318</v>
      </c>
      <c r="H71" s="55">
        <v>0.56899999999999995</v>
      </c>
      <c r="I71" s="55">
        <v>6.0999999999999999E-2</v>
      </c>
      <c r="N71" s="36">
        <v>2019</v>
      </c>
      <c r="O71" s="34">
        <v>1340990</v>
      </c>
      <c r="P71" s="55">
        <v>0.73799999999999999</v>
      </c>
      <c r="Q71" s="55">
        <v>0.59</v>
      </c>
      <c r="R71" s="55">
        <v>0.14799999999999999</v>
      </c>
      <c r="S71" s="55">
        <v>0.23100000000000001</v>
      </c>
      <c r="T71" s="55">
        <v>0.50700000000000001</v>
      </c>
      <c r="U71" s="55">
        <v>0.56699999999999995</v>
      </c>
      <c r="V71" s="55">
        <v>0.17</v>
      </c>
    </row>
    <row r="72" spans="1:22" x14ac:dyDescent="0.3">
      <c r="A72" s="36">
        <v>2020</v>
      </c>
      <c r="B72" s="34">
        <v>747820</v>
      </c>
      <c r="C72" s="55">
        <v>0.58699999999999997</v>
      </c>
      <c r="D72" s="55">
        <v>0.51200000000000001</v>
      </c>
      <c r="E72" s="55">
        <v>7.3999999999999996E-2</v>
      </c>
      <c r="F72" s="55">
        <v>0.27900000000000003</v>
      </c>
      <c r="G72" s="55">
        <v>0.308</v>
      </c>
      <c r="H72" s="55">
        <v>0.52500000000000002</v>
      </c>
      <c r="I72" s="55">
        <v>6.2E-2</v>
      </c>
      <c r="N72" s="36">
        <v>2020</v>
      </c>
      <c r="O72" s="34">
        <v>1313283</v>
      </c>
      <c r="P72" s="55">
        <v>0.71</v>
      </c>
      <c r="Q72" s="55">
        <v>0.56699999999999995</v>
      </c>
      <c r="R72" s="55">
        <v>0.14299999999999999</v>
      </c>
      <c r="S72" s="55">
        <v>0.22</v>
      </c>
      <c r="T72" s="55">
        <v>0.49099999999999999</v>
      </c>
      <c r="U72" s="55">
        <v>0.54500000000000004</v>
      </c>
      <c r="V72" s="55">
        <v>0.16600000000000001</v>
      </c>
    </row>
    <row r="73" spans="1:22" x14ac:dyDescent="0.3">
      <c r="B73" s="30"/>
      <c r="O73" s="30"/>
    </row>
    <row r="74" spans="1:22" x14ac:dyDescent="0.3">
      <c r="A74" s="24" t="str">
        <f>CONCATENATE("Figure ", RIGHT(A69,LEN(A69)-6))</f>
        <v>Figure 33a. College Enrollment Rates in the First Two Years after High School Graduation for Classes 2019 and 2020, Student-Weighted Totals</v>
      </c>
      <c r="B74" s="30"/>
      <c r="N74" s="24" t="str">
        <f>CONCATENATE("Figure ", RIGHT(N69,LEN(N69)-6))</f>
        <v>Figure 33b. College Enrollment Rates in the First Two Years after High School Graduation for Classes 2019 and 2020, Student-Weighted Totals</v>
      </c>
      <c r="O74" s="30"/>
    </row>
    <row r="75" spans="1:22" x14ac:dyDescent="0.3">
      <c r="B75" s="30"/>
      <c r="O75" s="30"/>
    </row>
    <row r="76" spans="1:22" x14ac:dyDescent="0.3">
      <c r="B76" s="30"/>
      <c r="O76" s="30"/>
    </row>
    <row r="77" spans="1:22" x14ac:dyDescent="0.3">
      <c r="B77" s="30"/>
      <c r="O77" s="30"/>
    </row>
    <row r="78" spans="1:22" x14ac:dyDescent="0.3">
      <c r="B78" s="30"/>
      <c r="O78" s="30"/>
    </row>
    <row r="79" spans="1:22" x14ac:dyDescent="0.3">
      <c r="B79" s="30"/>
      <c r="O79" s="30"/>
    </row>
    <row r="80" spans="1:22" x14ac:dyDescent="0.3">
      <c r="B80" s="30"/>
      <c r="J80" s="21"/>
      <c r="O80" s="30"/>
    </row>
    <row r="81" spans="1:18" x14ac:dyDescent="0.3">
      <c r="B81" s="30"/>
      <c r="O81" s="30"/>
    </row>
    <row r="82" spans="1:18" x14ac:dyDescent="0.3">
      <c r="B82" s="30"/>
      <c r="J82" s="50"/>
      <c r="O82" s="30"/>
    </row>
    <row r="83" spans="1:18" x14ac:dyDescent="0.3">
      <c r="B83" s="30"/>
      <c r="O83" s="30"/>
    </row>
    <row r="84" spans="1:18" x14ac:dyDescent="0.3">
      <c r="B84" s="30"/>
      <c r="O84" s="30"/>
    </row>
    <row r="85" spans="1:18" x14ac:dyDescent="0.3">
      <c r="B85" s="30"/>
      <c r="O85" s="30"/>
    </row>
    <row r="86" spans="1:18" x14ac:dyDescent="0.3">
      <c r="B86" s="30"/>
      <c r="O86" s="30"/>
    </row>
    <row r="87" spans="1:18" x14ac:dyDescent="0.3">
      <c r="B87" s="30"/>
      <c r="O87" s="30"/>
    </row>
    <row r="88" spans="1:18" x14ac:dyDescent="0.3">
      <c r="B88" s="30"/>
      <c r="O88" s="30"/>
    </row>
    <row r="89" spans="1:18" x14ac:dyDescent="0.3">
      <c r="B89" s="30"/>
      <c r="O89" s="30"/>
    </row>
    <row r="90" spans="1:18" x14ac:dyDescent="0.3">
      <c r="B90" s="30"/>
      <c r="O90" s="30"/>
    </row>
    <row r="91" spans="1:18" x14ac:dyDescent="0.3">
      <c r="B91" s="30"/>
      <c r="O91" s="30"/>
    </row>
    <row r="92" spans="1:18" x14ac:dyDescent="0.3">
      <c r="B92" s="30"/>
      <c r="O92" s="30"/>
    </row>
    <row r="93" spans="1:18" x14ac:dyDescent="0.3">
      <c r="B93" s="30"/>
      <c r="O93" s="30"/>
    </row>
    <row r="94" spans="1:18" x14ac:dyDescent="0.3">
      <c r="A94" s="48" t="str">
        <f>CONCATENATE("Table 34a. Persistence Rates from First to Second Year of College for Class of ",A96,", School Percentile Distribution")</f>
        <v>Table 34a. Persistence Rates from First to Second Year of College for Class of 2020, School Percentile Distribution</v>
      </c>
      <c r="B94" s="30"/>
      <c r="N94" s="48" t="str">
        <f>CONCATENATE("Table 34b. Persistence Rates from First to Second Year of College for Class of ",N96,", School Percentile Distribution")</f>
        <v>Table 34b. Persistence Rates from First to Second Year of College for Class of 2020, School Percentile Distribution</v>
      </c>
      <c r="O94" s="30"/>
    </row>
    <row r="95" spans="1:18" ht="28.8" x14ac:dyDescent="0.3">
      <c r="A95" s="33"/>
      <c r="B95" s="34" t="s">
        <v>358</v>
      </c>
      <c r="C95" s="35" t="s">
        <v>359</v>
      </c>
      <c r="D95" s="35" t="s">
        <v>360</v>
      </c>
      <c r="E95" s="35" t="s">
        <v>361</v>
      </c>
      <c r="N95" s="33"/>
      <c r="O95" s="34" t="s">
        <v>358</v>
      </c>
      <c r="P95" s="35" t="s">
        <v>359</v>
      </c>
      <c r="Q95" s="35" t="s">
        <v>360</v>
      </c>
      <c r="R95" s="35" t="s">
        <v>361</v>
      </c>
    </row>
    <row r="96" spans="1:18" x14ac:dyDescent="0.3">
      <c r="A96" s="36">
        <v>2020</v>
      </c>
      <c r="B96" s="46">
        <v>3637</v>
      </c>
      <c r="C96" s="56">
        <v>0.66100000000000003</v>
      </c>
      <c r="D96" s="56">
        <v>0.73599999999999999</v>
      </c>
      <c r="E96" s="56">
        <v>0.8</v>
      </c>
      <c r="N96" s="36">
        <v>2020</v>
      </c>
      <c r="O96" s="46">
        <v>6235</v>
      </c>
      <c r="P96" s="56">
        <v>0.76300000000000001</v>
      </c>
      <c r="Q96" s="56">
        <v>0.83299999999999996</v>
      </c>
      <c r="R96" s="56">
        <v>0.89200000000000002</v>
      </c>
    </row>
    <row r="97" spans="1:22" x14ac:dyDescent="0.3">
      <c r="B97" s="30"/>
      <c r="O97" s="30"/>
    </row>
    <row r="98" spans="1:22" x14ac:dyDescent="0.3">
      <c r="A98" s="48" t="str">
        <f>CONCATENATE("Table 35a. Persistence Rates from First to Second Year of College for Class of ",A100,", Student-Weighted Totals")</f>
        <v>Table 35a. Persistence Rates from First to Second Year of College for Class of 2020, Student-Weighted Totals</v>
      </c>
      <c r="B98" s="30"/>
      <c r="N98" s="48" t="str">
        <f>CONCATENATE("Table 35b. Persistence Rates from First to Second Year of College for Class of ",N100,", Student-Weighted Totals")</f>
        <v>Table 35b. Persistence Rates from First to Second Year of College for Class of 2020, Student-Weighted Totals</v>
      </c>
      <c r="O98" s="30"/>
    </row>
    <row r="99" spans="1:22" ht="57.6" customHeight="1" x14ac:dyDescent="0.3">
      <c r="A99" s="33"/>
      <c r="B99" s="34" t="s">
        <v>368</v>
      </c>
      <c r="C99" s="35" t="s">
        <v>363</v>
      </c>
      <c r="D99" s="35" t="s">
        <v>34</v>
      </c>
      <c r="E99" s="35" t="s">
        <v>35</v>
      </c>
      <c r="F99" s="35" t="s">
        <v>364</v>
      </c>
      <c r="G99" s="35" t="s">
        <v>365</v>
      </c>
      <c r="H99" s="35" t="s">
        <v>366</v>
      </c>
      <c r="I99" s="35" t="s">
        <v>367</v>
      </c>
      <c r="N99" s="33"/>
      <c r="O99" s="34" t="s">
        <v>368</v>
      </c>
      <c r="P99" s="35" t="s">
        <v>363</v>
      </c>
      <c r="Q99" s="35" t="s">
        <v>34</v>
      </c>
      <c r="R99" s="35" t="s">
        <v>35</v>
      </c>
      <c r="S99" s="35" t="s">
        <v>364</v>
      </c>
      <c r="T99" s="35" t="s">
        <v>365</v>
      </c>
      <c r="U99" s="35" t="s">
        <v>366</v>
      </c>
      <c r="V99" s="35" t="s">
        <v>367</v>
      </c>
    </row>
    <row r="100" spans="1:22" x14ac:dyDescent="0.3">
      <c r="A100" s="36">
        <v>2020</v>
      </c>
      <c r="B100" s="34">
        <v>408390</v>
      </c>
      <c r="C100" s="55">
        <v>0.755</v>
      </c>
      <c r="D100" s="55">
        <v>0.748</v>
      </c>
      <c r="E100" s="55">
        <v>0.79600000000000004</v>
      </c>
      <c r="F100" s="55">
        <v>0.66100000000000003</v>
      </c>
      <c r="G100" s="55">
        <v>0.83399999999999996</v>
      </c>
      <c r="H100" s="55">
        <v>0.75</v>
      </c>
      <c r="I100" s="55">
        <v>0.79400000000000004</v>
      </c>
      <c r="N100" s="36">
        <v>2020</v>
      </c>
      <c r="O100" s="34">
        <v>883953</v>
      </c>
      <c r="P100" s="55">
        <v>0.85899999999999999</v>
      </c>
      <c r="Q100" s="55">
        <v>0.84499999999999997</v>
      </c>
      <c r="R100" s="55">
        <v>0.91300000000000003</v>
      </c>
      <c r="S100" s="55">
        <v>0.72799999999999998</v>
      </c>
      <c r="T100" s="55">
        <v>0.91400000000000003</v>
      </c>
      <c r="U100" s="55">
        <v>0.84199999999999997</v>
      </c>
      <c r="V100" s="55">
        <v>0.91700000000000004</v>
      </c>
    </row>
    <row r="101" spans="1:22" x14ac:dyDescent="0.3">
      <c r="B101" s="30"/>
      <c r="O101" s="30"/>
    </row>
    <row r="102" spans="1:22" x14ac:dyDescent="0.3">
      <c r="A102" s="24" t="str">
        <f>CONCATENATE("Figure ", RIGHT(A98,LEN(A98)-6))</f>
        <v>Figure 35a. Persistence Rates from First to Second Year of College for Class of 2020, Student-Weighted Totals</v>
      </c>
      <c r="B102" s="30"/>
      <c r="N102" s="24" t="str">
        <f>CONCATENATE("Figure ", RIGHT(N98,LEN(N98)-6))</f>
        <v>Figure 35b. Persistence Rates from First to Second Year of College for Class of 2020, Student-Weighted Totals</v>
      </c>
      <c r="O102" s="30"/>
    </row>
    <row r="103" spans="1:22" x14ac:dyDescent="0.3">
      <c r="B103" s="30"/>
      <c r="O103" s="30"/>
    </row>
    <row r="104" spans="1:22" x14ac:dyDescent="0.3">
      <c r="B104" s="30"/>
      <c r="O104" s="30"/>
    </row>
    <row r="105" spans="1:22" x14ac:dyDescent="0.3">
      <c r="B105" s="30"/>
      <c r="O105" s="30"/>
    </row>
    <row r="106" spans="1:22" x14ac:dyDescent="0.3">
      <c r="B106" s="30"/>
      <c r="O106" s="30"/>
    </row>
    <row r="107" spans="1:22" x14ac:dyDescent="0.3">
      <c r="B107" s="30"/>
      <c r="O107" s="30"/>
    </row>
    <row r="108" spans="1:22" x14ac:dyDescent="0.3">
      <c r="B108" s="30"/>
      <c r="J108" s="21"/>
      <c r="O108" s="30"/>
    </row>
    <row r="109" spans="1:22" x14ac:dyDescent="0.3">
      <c r="B109" s="30"/>
      <c r="O109" s="30"/>
    </row>
    <row r="110" spans="1:22" x14ac:dyDescent="0.3">
      <c r="B110" s="30"/>
      <c r="J110" s="50"/>
      <c r="O110" s="30"/>
    </row>
    <row r="111" spans="1:22" x14ac:dyDescent="0.3">
      <c r="B111" s="30"/>
      <c r="O111" s="30"/>
    </row>
    <row r="112" spans="1:22" x14ac:dyDescent="0.3">
      <c r="B112" s="30"/>
      <c r="O112" s="30"/>
    </row>
    <row r="113" spans="1:22" x14ac:dyDescent="0.3">
      <c r="B113" s="30"/>
      <c r="O113" s="30"/>
    </row>
    <row r="114" spans="1:22" x14ac:dyDescent="0.3">
      <c r="B114" s="30"/>
      <c r="O114" s="30"/>
    </row>
    <row r="115" spans="1:22" x14ac:dyDescent="0.3">
      <c r="B115" s="30"/>
      <c r="O115" s="30"/>
    </row>
    <row r="116" spans="1:22" x14ac:dyDescent="0.3">
      <c r="B116" s="30"/>
      <c r="O116" s="30"/>
    </row>
    <row r="117" spans="1:22" x14ac:dyDescent="0.3">
      <c r="B117" s="30"/>
      <c r="O117" s="30"/>
    </row>
    <row r="118" spans="1:22" x14ac:dyDescent="0.3">
      <c r="B118" s="30"/>
      <c r="O118" s="30"/>
    </row>
    <row r="119" spans="1:22" x14ac:dyDescent="0.3">
      <c r="B119" s="30"/>
      <c r="O119" s="30"/>
    </row>
    <row r="120" spans="1:22" x14ac:dyDescent="0.3">
      <c r="B120" s="30"/>
      <c r="O120" s="30"/>
    </row>
    <row r="121" spans="1:22" x14ac:dyDescent="0.3">
      <c r="B121" s="30"/>
      <c r="O121" s="30"/>
    </row>
    <row r="122" spans="1:22" x14ac:dyDescent="0.3">
      <c r="A122" s="48" t="str">
        <f>CONCATENATE("Table 36a. Six-Year Completion Rates for Class of ",A124,", School Percentile Distribution")</f>
        <v>Table 36a. Six-Year Completion Rates for Class of 2016, School Percentile Distribution</v>
      </c>
      <c r="B122" s="30"/>
      <c r="N122" s="48" t="str">
        <f>CONCATENATE("Table 36b. Six-Year Completion Rates for Class of ",N124,", School Percentile Distribution")</f>
        <v>Table 36b. Six-Year Completion Rates for Class of 2016, School Percentile Distribution</v>
      </c>
      <c r="O122" s="30"/>
    </row>
    <row r="123" spans="1:22" ht="28.8" x14ac:dyDescent="0.3">
      <c r="A123" s="33"/>
      <c r="B123" s="34" t="s">
        <v>358</v>
      </c>
      <c r="C123" s="35" t="s">
        <v>359</v>
      </c>
      <c r="D123" s="35" t="s">
        <v>360</v>
      </c>
      <c r="E123" s="35" t="s">
        <v>361</v>
      </c>
      <c r="N123" s="33"/>
      <c r="O123" s="34" t="s">
        <v>358</v>
      </c>
      <c r="P123" s="35" t="s">
        <v>359</v>
      </c>
      <c r="Q123" s="35" t="s">
        <v>360</v>
      </c>
      <c r="R123" s="35" t="s">
        <v>361</v>
      </c>
    </row>
    <row r="124" spans="1:22" x14ac:dyDescent="0.3">
      <c r="A124" s="36">
        <v>2016</v>
      </c>
      <c r="B124" s="46">
        <v>3495</v>
      </c>
      <c r="C124" s="56">
        <v>0.185</v>
      </c>
      <c r="D124" s="56">
        <v>0.26900000000000002</v>
      </c>
      <c r="E124" s="56">
        <v>0.35399999999999998</v>
      </c>
      <c r="N124" s="36">
        <v>2016</v>
      </c>
      <c r="O124" s="46">
        <v>5916</v>
      </c>
      <c r="P124" s="56">
        <v>0.36199999999999999</v>
      </c>
      <c r="Q124" s="56">
        <v>0.46600000000000003</v>
      </c>
      <c r="R124" s="56">
        <v>0.57499999999999996</v>
      </c>
    </row>
    <row r="125" spans="1:22" x14ac:dyDescent="0.3">
      <c r="B125" s="30"/>
      <c r="O125" s="30"/>
    </row>
    <row r="126" spans="1:22" x14ac:dyDescent="0.3">
      <c r="A126" s="48" t="str">
        <f>CONCATENATE("Table 37a. Six-Year Completion Rates for Class of ",A128, ", Student-Weighted Totals")</f>
        <v>Table 37a. Six-Year Completion Rates for Class of 2016, Student-Weighted Totals</v>
      </c>
      <c r="B126" s="30"/>
      <c r="N126" s="48" t="str">
        <f>CONCATENATE("Table 37b. Six-Year Completion Rates for Class of ",N128, ", Student-Weighted Totals")</f>
        <v>Table 37b. Six-Year Completion Rates for Class of 2016, Student-Weighted Totals</v>
      </c>
      <c r="O126" s="30"/>
    </row>
    <row r="127" spans="1:22" ht="28.8" x14ac:dyDescent="0.3">
      <c r="A127" s="33"/>
      <c r="B127" s="34" t="s">
        <v>362</v>
      </c>
      <c r="C127" s="35" t="s">
        <v>363</v>
      </c>
      <c r="D127" s="35" t="s">
        <v>34</v>
      </c>
      <c r="E127" s="35" t="s">
        <v>35</v>
      </c>
      <c r="F127" s="35" t="s">
        <v>364</v>
      </c>
      <c r="G127" s="35" t="s">
        <v>365</v>
      </c>
      <c r="H127" s="35" t="s">
        <v>366</v>
      </c>
      <c r="I127" s="35" t="s">
        <v>367</v>
      </c>
      <c r="N127" s="33"/>
      <c r="O127" s="34" t="s">
        <v>362</v>
      </c>
      <c r="P127" s="35" t="s">
        <v>363</v>
      </c>
      <c r="Q127" s="35" t="s">
        <v>34</v>
      </c>
      <c r="R127" s="35" t="s">
        <v>35</v>
      </c>
      <c r="S127" s="35" t="s">
        <v>364</v>
      </c>
      <c r="T127" s="35" t="s">
        <v>365</v>
      </c>
      <c r="U127" s="35" t="s">
        <v>366</v>
      </c>
      <c r="V127" s="35" t="s">
        <v>367</v>
      </c>
    </row>
    <row r="128" spans="1:22" x14ac:dyDescent="0.3">
      <c r="A128" s="36">
        <v>2016</v>
      </c>
      <c r="B128" s="34">
        <v>668942</v>
      </c>
      <c r="C128" s="55">
        <v>0.29199999999999998</v>
      </c>
      <c r="D128" s="55">
        <v>0.24299999999999999</v>
      </c>
      <c r="E128" s="55">
        <v>4.9000000000000002E-2</v>
      </c>
      <c r="F128" s="55">
        <v>9.0999999999999998E-2</v>
      </c>
      <c r="G128" s="55">
        <v>0.20100000000000001</v>
      </c>
      <c r="H128" s="55">
        <v>0.255</v>
      </c>
      <c r="I128" s="55">
        <v>3.6999999999999998E-2</v>
      </c>
      <c r="N128" s="36">
        <v>2016</v>
      </c>
      <c r="O128" s="47">
        <v>1222834</v>
      </c>
      <c r="P128" s="57">
        <v>0.504</v>
      </c>
      <c r="Q128" s="57">
        <v>0.379</v>
      </c>
      <c r="R128" s="57">
        <v>0.125</v>
      </c>
      <c r="S128" s="57">
        <v>9.1999999999999998E-2</v>
      </c>
      <c r="T128" s="57">
        <v>0.41099999999999998</v>
      </c>
      <c r="U128" s="57">
        <v>0.36699999999999999</v>
      </c>
      <c r="V128" s="57">
        <v>0.13700000000000001</v>
      </c>
    </row>
    <row r="129" spans="1:15" x14ac:dyDescent="0.3">
      <c r="B129" s="30"/>
      <c r="O129" s="30"/>
    </row>
    <row r="130" spans="1:15" x14ac:dyDescent="0.3">
      <c r="A130" s="24" t="str">
        <f>CONCATENATE("Figure ", RIGHT(A126,LEN(A126)-6))</f>
        <v>Figure 37a. Six-Year Completion Rates for Class of 2016, Student-Weighted Totals</v>
      </c>
      <c r="B130" s="30"/>
      <c r="N130" s="24" t="str">
        <f>CONCATENATE("Figure ", RIGHT(N126,LEN(N126)-6))</f>
        <v>Figure 37b. Six-Year Completion Rates for Class of 2016, Student-Weighted Totals</v>
      </c>
      <c r="O130" s="30"/>
    </row>
    <row r="131" spans="1:15" x14ac:dyDescent="0.3">
      <c r="B131" s="30"/>
      <c r="O131" s="30"/>
    </row>
    <row r="132" spans="1:15" x14ac:dyDescent="0.3">
      <c r="B132" s="30"/>
      <c r="O132" s="30"/>
    </row>
    <row r="133" spans="1:15" x14ac:dyDescent="0.3">
      <c r="B133" s="30"/>
      <c r="O133" s="30"/>
    </row>
    <row r="134" spans="1:15" x14ac:dyDescent="0.3">
      <c r="B134" s="30"/>
      <c r="O134" s="30"/>
    </row>
    <row r="135" spans="1:15" x14ac:dyDescent="0.3">
      <c r="B135" s="30"/>
      <c r="O135" s="30"/>
    </row>
    <row r="136" spans="1:15" x14ac:dyDescent="0.3">
      <c r="B136" s="30"/>
      <c r="O136" s="30"/>
    </row>
    <row r="137" spans="1:15" x14ac:dyDescent="0.3">
      <c r="B137" s="30"/>
      <c r="O137" s="30"/>
    </row>
    <row r="138" spans="1:15" x14ac:dyDescent="0.3">
      <c r="B138" s="30"/>
      <c r="O138" s="30"/>
    </row>
    <row r="139" spans="1:15" x14ac:dyDescent="0.3">
      <c r="B139" s="30"/>
      <c r="O139" s="30"/>
    </row>
    <row r="140" spans="1:15" x14ac:dyDescent="0.3">
      <c r="B140" s="30"/>
      <c r="O140" s="30"/>
    </row>
    <row r="141" spans="1:15" x14ac:dyDescent="0.3">
      <c r="B141" s="30"/>
      <c r="O141" s="30"/>
    </row>
    <row r="142" spans="1:15" x14ac:dyDescent="0.3">
      <c r="B142" s="30"/>
      <c r="O142" s="30"/>
    </row>
    <row r="143" spans="1:15" x14ac:dyDescent="0.3">
      <c r="B143" s="30"/>
      <c r="O143" s="30"/>
    </row>
    <row r="144" spans="1:15" x14ac:dyDescent="0.3">
      <c r="B144" s="30"/>
      <c r="O144" s="30"/>
    </row>
    <row r="145" spans="2:15" x14ac:dyDescent="0.3">
      <c r="B145" s="30"/>
      <c r="O145" s="30"/>
    </row>
    <row r="146" spans="2:15" x14ac:dyDescent="0.3">
      <c r="B146" s="30"/>
      <c r="O146" s="30"/>
    </row>
    <row r="147" spans="2:15" x14ac:dyDescent="0.3">
      <c r="B147" s="30"/>
      <c r="O147" s="30"/>
    </row>
    <row r="148" spans="2:15" x14ac:dyDescent="0.3">
      <c r="B148" s="30"/>
      <c r="O148" s="30"/>
    </row>
  </sheetData>
  <mergeCells count="2">
    <mergeCell ref="A2:L2"/>
    <mergeCell ref="N2:Y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6C8FB-8A38-4886-9A4A-C0AD4EE80A22}">
  <dimension ref="A1:Y148"/>
  <sheetViews>
    <sheetView zoomScale="80" zoomScaleNormal="80" workbookViewId="0">
      <pane ySplit="2" topLeftCell="A3" activePane="bottomLeft" state="frozen"/>
      <selection activeCell="A61" sqref="A61:A62"/>
      <selection pane="bottomLeft"/>
    </sheetView>
  </sheetViews>
  <sheetFormatPr defaultRowHeight="14.4" x14ac:dyDescent="0.3"/>
  <cols>
    <col min="2" max="9" width="10.6640625" customWidth="1"/>
    <col min="15" max="22" width="10.6640625" customWidth="1"/>
  </cols>
  <sheetData>
    <row r="1" spans="1:25" ht="28.8" x14ac:dyDescent="0.3">
      <c r="A1" s="87" t="s">
        <v>397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</row>
    <row r="2" spans="1:25" s="89" customFormat="1" ht="18" x14ac:dyDescent="0.35">
      <c r="A2" s="106" t="s">
        <v>370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88"/>
      <c r="N2" s="106" t="s">
        <v>371</v>
      </c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</row>
    <row r="3" spans="1:25" x14ac:dyDescent="0.3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2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5" x14ac:dyDescent="0.3">
      <c r="A4" s="24" t="str">
        <f>CONCATENATE("Table 38a. College Enrollment Rates in the First Fall after High School Graduation for Classes ",A6," and ",A7,", School Percentile Distribution")</f>
        <v>Table 38a. College Enrollment Rates in the First Fall after High School Graduation for Classes 2021 and 2022, School Percentile Distribution</v>
      </c>
      <c r="B4" s="30"/>
      <c r="N4" s="24" t="str">
        <f>CONCATENATE("Table 38b. College Enrollment Rates in the First Fall after High School Graduation for Classes ",N6," and ",N7,", School Percentile Distribution")</f>
        <v>Table 38b. College Enrollment Rates in the First Fall after High School Graduation for Classes 2021 and 2022, School Percentile Distribution</v>
      </c>
      <c r="O4" s="30"/>
    </row>
    <row r="5" spans="1:25" ht="28.8" x14ac:dyDescent="0.3">
      <c r="A5" s="33"/>
      <c r="B5" s="34" t="s">
        <v>358</v>
      </c>
      <c r="C5" s="35" t="s">
        <v>359</v>
      </c>
      <c r="D5" s="35" t="s">
        <v>360</v>
      </c>
      <c r="E5" s="35" t="s">
        <v>361</v>
      </c>
      <c r="N5" s="33"/>
      <c r="O5" s="34" t="s">
        <v>358</v>
      </c>
      <c r="P5" s="35" t="s">
        <v>359</v>
      </c>
      <c r="Q5" s="35" t="s">
        <v>360</v>
      </c>
      <c r="R5" s="35" t="s">
        <v>361</v>
      </c>
    </row>
    <row r="6" spans="1:25" x14ac:dyDescent="0.3">
      <c r="A6" s="36">
        <v>2021</v>
      </c>
      <c r="B6" s="34">
        <v>3022</v>
      </c>
      <c r="C6" s="55">
        <v>0.378</v>
      </c>
      <c r="D6" s="55">
        <v>0.5</v>
      </c>
      <c r="E6" s="55">
        <v>0.625</v>
      </c>
      <c r="G6" s="31"/>
      <c r="I6" s="31"/>
      <c r="N6" s="36">
        <v>2021</v>
      </c>
      <c r="O6" s="34">
        <v>6690</v>
      </c>
      <c r="P6" s="55">
        <v>0.45</v>
      </c>
      <c r="Q6" s="55">
        <v>0.57599999999999996</v>
      </c>
      <c r="R6" s="55">
        <v>0.7</v>
      </c>
      <c r="T6" s="31"/>
      <c r="V6" s="31"/>
    </row>
    <row r="7" spans="1:25" x14ac:dyDescent="0.3">
      <c r="A7" s="36">
        <v>2022</v>
      </c>
      <c r="B7" s="34">
        <v>2628</v>
      </c>
      <c r="C7" s="55">
        <v>0.39500000000000002</v>
      </c>
      <c r="D7" s="55">
        <v>0.51100000000000001</v>
      </c>
      <c r="E7" s="55">
        <v>0.63700000000000001</v>
      </c>
      <c r="N7" s="36">
        <v>2022</v>
      </c>
      <c r="O7" s="34">
        <v>5870</v>
      </c>
      <c r="P7" s="55">
        <v>0.45200000000000001</v>
      </c>
      <c r="Q7" s="55">
        <v>0.57399999999999995</v>
      </c>
      <c r="R7" s="55">
        <v>0.69699999999999995</v>
      </c>
    </row>
    <row r="8" spans="1:25" x14ac:dyDescent="0.3">
      <c r="B8" s="30"/>
      <c r="O8" s="30"/>
    </row>
    <row r="9" spans="1:25" x14ac:dyDescent="0.3">
      <c r="A9" s="24" t="str">
        <f>CONCATENATE("Table 39a. College Enrollment Rates in the First Fall after High School Graduation for Classes ",A11," and ",A12,", Student-Weighted Totals")</f>
        <v>Table 39a. College Enrollment Rates in the First Fall after High School Graduation for Classes 2021 and 2022, Student-Weighted Totals</v>
      </c>
      <c r="B9" s="30"/>
      <c r="N9" s="24" t="str">
        <f>CONCATENATE("Table 39b. College Enrollment Rates in the First Fall after High School Graduation for Classes ",N11," and ",N12,", Student-Weighted Totals")</f>
        <v>Table 39b. College Enrollment Rates in the First Fall after High School Graduation for Classes 2021 and 2022, Student-Weighted Totals</v>
      </c>
      <c r="O9" s="30"/>
    </row>
    <row r="10" spans="1:25" ht="28.8" x14ac:dyDescent="0.3">
      <c r="A10" s="33"/>
      <c r="B10" s="34" t="s">
        <v>362</v>
      </c>
      <c r="C10" s="35" t="s">
        <v>363</v>
      </c>
      <c r="D10" s="35" t="s">
        <v>34</v>
      </c>
      <c r="E10" s="35" t="s">
        <v>35</v>
      </c>
      <c r="F10" s="35" t="s">
        <v>364</v>
      </c>
      <c r="G10" s="35" t="s">
        <v>365</v>
      </c>
      <c r="H10" s="35" t="s">
        <v>366</v>
      </c>
      <c r="I10" s="35" t="s">
        <v>367</v>
      </c>
      <c r="N10" s="33"/>
      <c r="O10" s="34" t="s">
        <v>362</v>
      </c>
      <c r="P10" s="35" t="s">
        <v>363</v>
      </c>
      <c r="Q10" s="35" t="s">
        <v>34</v>
      </c>
      <c r="R10" s="35" t="s">
        <v>35</v>
      </c>
      <c r="S10" s="35" t="s">
        <v>364</v>
      </c>
      <c r="T10" s="35" t="s">
        <v>365</v>
      </c>
      <c r="U10" s="35" t="s">
        <v>366</v>
      </c>
      <c r="V10" s="35" t="s">
        <v>367</v>
      </c>
    </row>
    <row r="11" spans="1:25" x14ac:dyDescent="0.3">
      <c r="A11" s="36">
        <v>2021</v>
      </c>
      <c r="B11" s="34">
        <v>782702</v>
      </c>
      <c r="C11" s="55">
        <v>0.51900000000000002</v>
      </c>
      <c r="D11" s="55">
        <v>0.44400000000000001</v>
      </c>
      <c r="E11" s="55">
        <v>7.4999999999999997E-2</v>
      </c>
      <c r="F11" s="55">
        <v>0.19700000000000001</v>
      </c>
      <c r="G11" s="55">
        <v>0.32200000000000001</v>
      </c>
      <c r="H11" s="55">
        <v>0.44800000000000001</v>
      </c>
      <c r="I11" s="55">
        <v>7.0999999999999994E-2</v>
      </c>
      <c r="N11" s="36">
        <v>2021</v>
      </c>
      <c r="O11" s="34">
        <v>1140461</v>
      </c>
      <c r="P11" s="55">
        <v>0.63</v>
      </c>
      <c r="Q11" s="55">
        <v>0.495</v>
      </c>
      <c r="R11" s="55">
        <v>0.13400000000000001</v>
      </c>
      <c r="S11" s="55">
        <v>0.17</v>
      </c>
      <c r="T11" s="55">
        <v>0.46</v>
      </c>
      <c r="U11" s="55">
        <v>0.46400000000000002</v>
      </c>
      <c r="V11" s="55">
        <v>0.16600000000000001</v>
      </c>
    </row>
    <row r="12" spans="1:25" x14ac:dyDescent="0.3">
      <c r="A12" s="36">
        <v>2022</v>
      </c>
      <c r="B12" s="34">
        <v>704744</v>
      </c>
      <c r="C12" s="55">
        <v>0.54</v>
      </c>
      <c r="D12" s="55">
        <v>0.46700000000000003</v>
      </c>
      <c r="E12" s="55">
        <v>7.2999999999999995E-2</v>
      </c>
      <c r="F12" s="55">
        <v>0.21</v>
      </c>
      <c r="G12" s="55">
        <v>0.33</v>
      </c>
      <c r="H12" s="55">
        <v>0.47199999999999998</v>
      </c>
      <c r="I12" s="55">
        <v>6.8000000000000005E-2</v>
      </c>
      <c r="N12" s="36">
        <v>2022</v>
      </c>
      <c r="O12" s="34">
        <v>1010184</v>
      </c>
      <c r="P12" s="55">
        <v>0.63900000000000001</v>
      </c>
      <c r="Q12" s="55">
        <v>0.502</v>
      </c>
      <c r="R12" s="55">
        <v>0.13700000000000001</v>
      </c>
      <c r="S12" s="55">
        <v>0.16700000000000001</v>
      </c>
      <c r="T12" s="55">
        <v>0.47199999999999998</v>
      </c>
      <c r="U12" s="55">
        <v>0.46700000000000003</v>
      </c>
      <c r="V12" s="55">
        <v>0.17199999999999999</v>
      </c>
    </row>
    <row r="13" spans="1:25" x14ac:dyDescent="0.3">
      <c r="B13" s="30"/>
      <c r="O13" s="30"/>
    </row>
    <row r="14" spans="1:25" x14ac:dyDescent="0.3">
      <c r="A14" s="24" t="str">
        <f>CONCATENATE("Figure ", RIGHT(A9,LEN(A9)-6))</f>
        <v>Figure 39a. College Enrollment Rates in the First Fall after High School Graduation for Classes 2021 and 2022, Student-Weighted Totals</v>
      </c>
      <c r="B14" s="30"/>
      <c r="N14" s="24" t="str">
        <f>CONCATENATE("Figure ", RIGHT(N9,LEN(N9)-6))</f>
        <v>Figure 39b. College Enrollment Rates in the First Fall after High School Graduation for Classes 2021 and 2022, Student-Weighted Totals</v>
      </c>
      <c r="O14" s="30"/>
    </row>
    <row r="15" spans="1:25" x14ac:dyDescent="0.3">
      <c r="B15" s="30"/>
      <c r="O15" s="30"/>
    </row>
    <row r="16" spans="1:25" x14ac:dyDescent="0.3">
      <c r="B16" s="30"/>
      <c r="O16" s="30"/>
    </row>
    <row r="17" spans="2:15" x14ac:dyDescent="0.3">
      <c r="B17" s="30"/>
      <c r="O17" s="30"/>
    </row>
    <row r="18" spans="2:15" x14ac:dyDescent="0.3">
      <c r="B18" s="30"/>
      <c r="O18" s="30"/>
    </row>
    <row r="19" spans="2:15" x14ac:dyDescent="0.3">
      <c r="B19" s="30"/>
      <c r="O19" s="30"/>
    </row>
    <row r="20" spans="2:15" x14ac:dyDescent="0.3">
      <c r="B20" s="30"/>
      <c r="O20" s="30"/>
    </row>
    <row r="21" spans="2:15" x14ac:dyDescent="0.3">
      <c r="B21" s="30"/>
      <c r="O21" s="30"/>
    </row>
    <row r="22" spans="2:15" x14ac:dyDescent="0.3">
      <c r="B22" s="30"/>
      <c r="O22" s="30"/>
    </row>
    <row r="23" spans="2:15" x14ac:dyDescent="0.3">
      <c r="B23" s="30"/>
      <c r="O23" s="30"/>
    </row>
    <row r="24" spans="2:15" x14ac:dyDescent="0.3">
      <c r="B24" s="30"/>
      <c r="O24" s="30"/>
    </row>
    <row r="25" spans="2:15" x14ac:dyDescent="0.3">
      <c r="B25" s="30"/>
      <c r="O25" s="30"/>
    </row>
    <row r="26" spans="2:15" x14ac:dyDescent="0.3">
      <c r="B26" s="30"/>
      <c r="O26" s="30"/>
    </row>
    <row r="27" spans="2:15" x14ac:dyDescent="0.3">
      <c r="B27" s="30"/>
      <c r="O27" s="30"/>
    </row>
    <row r="28" spans="2:15" x14ac:dyDescent="0.3">
      <c r="B28" s="30"/>
      <c r="O28" s="30"/>
    </row>
    <row r="29" spans="2:15" x14ac:dyDescent="0.3">
      <c r="B29" s="30"/>
      <c r="O29" s="30"/>
    </row>
    <row r="30" spans="2:15" x14ac:dyDescent="0.3">
      <c r="B30" s="30"/>
      <c r="O30" s="30"/>
    </row>
    <row r="31" spans="2:15" x14ac:dyDescent="0.3">
      <c r="B31" s="30"/>
      <c r="O31" s="30"/>
    </row>
    <row r="32" spans="2:15" x14ac:dyDescent="0.3">
      <c r="B32" s="30"/>
      <c r="O32" s="30"/>
    </row>
    <row r="33" spans="1:22" x14ac:dyDescent="0.3">
      <c r="B33" s="30"/>
      <c r="O33" s="30"/>
    </row>
    <row r="34" spans="1:22" x14ac:dyDescent="0.3">
      <c r="A34" s="48" t="str">
        <f>CONCATENATE("Table 40a. College Enrollment Rates in the First Year after High School Graduation for Classes ",A36," and ",A37,", School Percentile Distribution")</f>
        <v>Table 40a. College Enrollment Rates in the First Year after High School Graduation for Classes 2020 and 2021, School Percentile Distribution</v>
      </c>
      <c r="B34" s="30"/>
      <c r="N34" s="48" t="str">
        <f>CONCATENATE("Table 40b. College Enrollment Rates in the First Year after High School Graduation for Classes ",N36," and ",N37,", School Percentile Distribution")</f>
        <v>Table 40b. College Enrollment Rates in the First Year after High School Graduation for Classes 2020 and 2021, School Percentile Distribution</v>
      </c>
      <c r="O34" s="30"/>
    </row>
    <row r="35" spans="1:22" ht="28.8" x14ac:dyDescent="0.3">
      <c r="A35" s="33"/>
      <c r="B35" s="34" t="s">
        <v>358</v>
      </c>
      <c r="C35" s="34" t="s">
        <v>359</v>
      </c>
      <c r="D35" s="34" t="s">
        <v>360</v>
      </c>
      <c r="E35" s="34" t="s">
        <v>361</v>
      </c>
      <c r="N35" s="33"/>
      <c r="O35" s="34" t="s">
        <v>358</v>
      </c>
      <c r="P35" s="34" t="s">
        <v>359</v>
      </c>
      <c r="Q35" s="34" t="s">
        <v>360</v>
      </c>
      <c r="R35" s="34" t="s">
        <v>361</v>
      </c>
    </row>
    <row r="36" spans="1:22" x14ac:dyDescent="0.3">
      <c r="A36" s="36">
        <v>2020</v>
      </c>
      <c r="B36" s="34">
        <v>3046</v>
      </c>
      <c r="C36" s="55">
        <v>0.433</v>
      </c>
      <c r="D36" s="55">
        <v>0.55100000000000005</v>
      </c>
      <c r="E36" s="55">
        <v>0.67300000000000004</v>
      </c>
      <c r="N36" s="36">
        <v>2020</v>
      </c>
      <c r="O36" s="34">
        <v>6826</v>
      </c>
      <c r="P36" s="55">
        <v>0.495</v>
      </c>
      <c r="Q36" s="55">
        <v>0.61199999999999999</v>
      </c>
      <c r="R36" s="55">
        <v>0.73299999999999998</v>
      </c>
    </row>
    <row r="37" spans="1:22" x14ac:dyDescent="0.3">
      <c r="A37" s="36">
        <v>2021</v>
      </c>
      <c r="B37" s="34">
        <v>3022</v>
      </c>
      <c r="C37" s="55">
        <v>0.41799999999999998</v>
      </c>
      <c r="D37" s="55">
        <v>0.53800000000000003</v>
      </c>
      <c r="E37" s="55">
        <v>0.66500000000000004</v>
      </c>
      <c r="N37" s="36">
        <v>2021</v>
      </c>
      <c r="O37" s="34">
        <v>6690</v>
      </c>
      <c r="P37" s="55">
        <v>0.48099999999999998</v>
      </c>
      <c r="Q37" s="55">
        <v>0.6</v>
      </c>
      <c r="R37" s="55">
        <v>0.72399999999999998</v>
      </c>
    </row>
    <row r="38" spans="1:22" x14ac:dyDescent="0.3">
      <c r="B38" s="30"/>
      <c r="O38" s="30"/>
    </row>
    <row r="39" spans="1:22" x14ac:dyDescent="0.3">
      <c r="A39" s="48" t="str">
        <f>CONCATENATE("Table 41a. College Enrollment Rates in the First Year after High School Graduation for Classes ",A41," and ",A42,", Student-Weighted Totals")</f>
        <v>Table 41a. College Enrollment Rates in the First Year after High School Graduation for Classes 2020 and 2021, Student-Weighted Totals</v>
      </c>
      <c r="B39" s="30"/>
      <c r="N39" s="48" t="str">
        <f>CONCATENATE("Table 41b. College Enrollment Rates in the First Year after High School Graduation for Classes ",N41," and ",N42,", Student-Weighted Totals")</f>
        <v>Table 41b. College Enrollment Rates in the First Year after High School Graduation for Classes 2020 and 2021, Student-Weighted Totals</v>
      </c>
      <c r="O39" s="30"/>
    </row>
    <row r="40" spans="1:22" ht="28.8" x14ac:dyDescent="0.3">
      <c r="A40" s="33"/>
      <c r="B40" s="34" t="s">
        <v>362</v>
      </c>
      <c r="C40" s="35" t="s">
        <v>363</v>
      </c>
      <c r="D40" s="35" t="s">
        <v>34</v>
      </c>
      <c r="E40" s="35" t="s">
        <v>35</v>
      </c>
      <c r="F40" s="35" t="s">
        <v>364</v>
      </c>
      <c r="G40" s="35" t="s">
        <v>365</v>
      </c>
      <c r="H40" s="35" t="s">
        <v>366</v>
      </c>
      <c r="I40" s="35" t="s">
        <v>367</v>
      </c>
      <c r="N40" s="33"/>
      <c r="O40" s="34" t="s">
        <v>362</v>
      </c>
      <c r="P40" s="35" t="s">
        <v>363</v>
      </c>
      <c r="Q40" s="35" t="s">
        <v>34</v>
      </c>
      <c r="R40" s="35" t="s">
        <v>35</v>
      </c>
      <c r="S40" s="35" t="s">
        <v>364</v>
      </c>
      <c r="T40" s="35" t="s">
        <v>365</v>
      </c>
      <c r="U40" s="35" t="s">
        <v>366</v>
      </c>
      <c r="V40" s="35" t="s">
        <v>367</v>
      </c>
    </row>
    <row r="41" spans="1:22" x14ac:dyDescent="0.3">
      <c r="A41" s="36">
        <v>2020</v>
      </c>
      <c r="B41" s="34">
        <v>863730</v>
      </c>
      <c r="C41" s="55">
        <v>0.56999999999999995</v>
      </c>
      <c r="D41" s="55">
        <v>0.49199999999999999</v>
      </c>
      <c r="E41" s="55">
        <v>7.8E-2</v>
      </c>
      <c r="F41" s="55">
        <v>0.24099999999999999</v>
      </c>
      <c r="G41" s="55">
        <v>0.32900000000000001</v>
      </c>
      <c r="H41" s="55">
        <v>0.501</v>
      </c>
      <c r="I41" s="55">
        <v>6.8000000000000005E-2</v>
      </c>
      <c r="N41" s="36">
        <v>2020</v>
      </c>
      <c r="O41" s="34">
        <v>1197373</v>
      </c>
      <c r="P41" s="55">
        <v>0.66800000000000004</v>
      </c>
      <c r="Q41" s="55">
        <v>0.53100000000000003</v>
      </c>
      <c r="R41" s="55">
        <v>0.13800000000000001</v>
      </c>
      <c r="S41" s="55">
        <v>0.20100000000000001</v>
      </c>
      <c r="T41" s="55">
        <v>0.46700000000000003</v>
      </c>
      <c r="U41" s="55">
        <v>0.51200000000000001</v>
      </c>
      <c r="V41" s="55">
        <v>0.156</v>
      </c>
    </row>
    <row r="42" spans="1:22" x14ac:dyDescent="0.3">
      <c r="A42" s="36">
        <v>2021</v>
      </c>
      <c r="B42" s="34">
        <v>782702</v>
      </c>
      <c r="C42" s="55">
        <v>0.55800000000000005</v>
      </c>
      <c r="D42" s="55">
        <v>0.47799999999999998</v>
      </c>
      <c r="E42" s="55">
        <v>0.08</v>
      </c>
      <c r="F42" s="55">
        <v>0.219</v>
      </c>
      <c r="G42" s="55">
        <v>0.34</v>
      </c>
      <c r="H42" s="55">
        <v>0.48199999999999998</v>
      </c>
      <c r="I42" s="55">
        <v>7.5999999999999998E-2</v>
      </c>
      <c r="N42" s="36">
        <v>2021</v>
      </c>
      <c r="O42" s="34">
        <v>1140461</v>
      </c>
      <c r="P42" s="55">
        <v>0.65600000000000003</v>
      </c>
      <c r="Q42" s="55">
        <v>0.51700000000000002</v>
      </c>
      <c r="R42" s="55">
        <v>0.13900000000000001</v>
      </c>
      <c r="S42" s="55">
        <v>0.183</v>
      </c>
      <c r="T42" s="55">
        <v>0.47399999999999998</v>
      </c>
      <c r="U42" s="55">
        <v>0.48399999999999999</v>
      </c>
      <c r="V42" s="55">
        <v>0.17199999999999999</v>
      </c>
    </row>
    <row r="43" spans="1:22" x14ac:dyDescent="0.3">
      <c r="B43" s="30"/>
      <c r="O43" s="30"/>
    </row>
    <row r="44" spans="1:22" x14ac:dyDescent="0.3">
      <c r="A44" s="24" t="str">
        <f>CONCATENATE("Figure ", RIGHT(A39,LEN(A39)-6))</f>
        <v>Figure 41a. College Enrollment Rates in the First Year after High School Graduation for Classes 2020 and 2021, Student-Weighted Totals</v>
      </c>
      <c r="B44" s="30"/>
      <c r="N44" s="24" t="str">
        <f>CONCATENATE("Figure ", RIGHT(N39,LEN(N39)-6))</f>
        <v>Figure 41b. College Enrollment Rates in the First Year after High School Graduation for Classes 2020 and 2021, Student-Weighted Totals</v>
      </c>
      <c r="O44" s="30"/>
    </row>
    <row r="45" spans="1:22" x14ac:dyDescent="0.3">
      <c r="B45" s="30"/>
      <c r="O45" s="30"/>
    </row>
    <row r="46" spans="1:22" x14ac:dyDescent="0.3">
      <c r="B46" s="30"/>
      <c r="O46" s="30"/>
    </row>
    <row r="47" spans="1:22" x14ac:dyDescent="0.3">
      <c r="B47" s="30"/>
      <c r="O47" s="30"/>
    </row>
    <row r="48" spans="1:22" x14ac:dyDescent="0.3">
      <c r="B48" s="30"/>
      <c r="O48" s="30"/>
    </row>
    <row r="49" spans="1:15" x14ac:dyDescent="0.3">
      <c r="B49" s="30"/>
      <c r="O49" s="30"/>
    </row>
    <row r="50" spans="1:15" x14ac:dyDescent="0.3">
      <c r="B50" s="30"/>
      <c r="O50" s="30"/>
    </row>
    <row r="51" spans="1:15" x14ac:dyDescent="0.3">
      <c r="B51" s="30"/>
      <c r="O51" s="30"/>
    </row>
    <row r="52" spans="1:15" x14ac:dyDescent="0.3">
      <c r="B52" s="30"/>
      <c r="O52" s="30"/>
    </row>
    <row r="53" spans="1:15" x14ac:dyDescent="0.3">
      <c r="B53" s="30"/>
      <c r="O53" s="30"/>
    </row>
    <row r="54" spans="1:15" x14ac:dyDescent="0.3">
      <c r="B54" s="30"/>
      <c r="O54" s="30"/>
    </row>
    <row r="55" spans="1:15" x14ac:dyDescent="0.3">
      <c r="B55" s="30"/>
      <c r="O55" s="30"/>
    </row>
    <row r="56" spans="1:15" x14ac:dyDescent="0.3">
      <c r="B56" s="30"/>
      <c r="O56" s="30"/>
    </row>
    <row r="57" spans="1:15" x14ac:dyDescent="0.3">
      <c r="B57" s="30"/>
      <c r="O57" s="30"/>
    </row>
    <row r="58" spans="1:15" x14ac:dyDescent="0.3">
      <c r="B58" s="30"/>
      <c r="O58" s="30"/>
    </row>
    <row r="59" spans="1:15" x14ac:dyDescent="0.3">
      <c r="B59" s="30"/>
      <c r="O59" s="30"/>
    </row>
    <row r="60" spans="1:15" x14ac:dyDescent="0.3">
      <c r="B60" s="30"/>
      <c r="O60" s="30"/>
    </row>
    <row r="61" spans="1:15" x14ac:dyDescent="0.3">
      <c r="B61" s="30"/>
      <c r="O61" s="30"/>
    </row>
    <row r="62" spans="1:15" x14ac:dyDescent="0.3">
      <c r="B62" s="30"/>
      <c r="O62" s="30"/>
    </row>
    <row r="63" spans="1:15" x14ac:dyDescent="0.3">
      <c r="B63" s="30"/>
      <c r="O63" s="30"/>
    </row>
    <row r="64" spans="1:15" x14ac:dyDescent="0.3">
      <c r="A64" s="48" t="str">
        <f>CONCATENATE("Table 42a. College Enrollment Rates in the First Two Years after High School Graduation for Classes ",A66," and ",A67,", School Percentile Distribution")</f>
        <v>Table 42a. College Enrollment Rates in the First Two Years after High School Graduation for Classes 2019 and 2020, School Percentile Distribution</v>
      </c>
      <c r="B64" s="30"/>
      <c r="N64" s="48" t="str">
        <f>CONCATENATE("Table 42b. College Enrollment Rates in the First Two Years after High School Graduation for Classes ",N66," and ",N67,", School Percentile Distribution")</f>
        <v>Table 42b. College Enrollment Rates in the First Two Years after High School Graduation for Classes 2019 and 2020, School Percentile Distribution</v>
      </c>
      <c r="O64" s="30"/>
    </row>
    <row r="65" spans="1:22" ht="28.8" x14ac:dyDescent="0.3">
      <c r="A65" s="33"/>
      <c r="B65" s="34" t="s">
        <v>358</v>
      </c>
      <c r="C65" s="35" t="s">
        <v>359</v>
      </c>
      <c r="D65" s="35" t="s">
        <v>360</v>
      </c>
      <c r="E65" s="35" t="s">
        <v>361</v>
      </c>
      <c r="N65" s="33"/>
      <c r="O65" s="34" t="s">
        <v>358</v>
      </c>
      <c r="P65" s="35" t="s">
        <v>359</v>
      </c>
      <c r="Q65" s="35" t="s">
        <v>360</v>
      </c>
      <c r="R65" s="35" t="s">
        <v>361</v>
      </c>
    </row>
    <row r="66" spans="1:22" x14ac:dyDescent="0.3">
      <c r="A66" s="36">
        <v>2019</v>
      </c>
      <c r="B66" s="34">
        <v>3024</v>
      </c>
      <c r="C66" s="55">
        <v>0.52600000000000002</v>
      </c>
      <c r="D66" s="55">
        <v>0.64600000000000002</v>
      </c>
      <c r="E66" s="55">
        <v>0.746</v>
      </c>
      <c r="N66" s="36">
        <v>2019</v>
      </c>
      <c r="O66" s="34">
        <v>6875</v>
      </c>
      <c r="P66" s="55">
        <v>0.57099999999999995</v>
      </c>
      <c r="Q66" s="55">
        <v>0.68400000000000005</v>
      </c>
      <c r="R66" s="55">
        <v>0.79400000000000004</v>
      </c>
    </row>
    <row r="67" spans="1:22" x14ac:dyDescent="0.3">
      <c r="A67" s="36">
        <v>2020</v>
      </c>
      <c r="B67" s="34">
        <v>3046</v>
      </c>
      <c r="C67" s="55">
        <v>0.47599999999999998</v>
      </c>
      <c r="D67" s="55">
        <v>0.59599999999999997</v>
      </c>
      <c r="E67" s="55">
        <v>0.71299999999999997</v>
      </c>
      <c r="N67" s="36">
        <v>2020</v>
      </c>
      <c r="O67" s="34">
        <v>6826</v>
      </c>
      <c r="P67" s="55">
        <v>0.53</v>
      </c>
      <c r="Q67" s="55">
        <v>0.64800000000000002</v>
      </c>
      <c r="R67" s="55">
        <v>0.76900000000000002</v>
      </c>
    </row>
    <row r="68" spans="1:22" x14ac:dyDescent="0.3">
      <c r="B68" s="30"/>
      <c r="O68" s="30"/>
    </row>
    <row r="69" spans="1:22" x14ac:dyDescent="0.3">
      <c r="A69" s="48" t="str">
        <f>CONCATENATE("Table 43a. College Enrollment Rates in the First Two Years after High School Graduation for Classes ",A71," and ",A72,", Student-Weighted Totals")</f>
        <v>Table 43a. College Enrollment Rates in the First Two Years after High School Graduation for Classes 2019 and 2020, Student-Weighted Totals</v>
      </c>
      <c r="B69" s="30"/>
      <c r="N69" s="48" t="str">
        <f>CONCATENATE("Table 43b. College Enrollment Rates in the First Two Years after High School Graduation for Classes ",N71," and ",N72,", Student-Weighted Totals")</f>
        <v>Table 43b. College Enrollment Rates in the First Two Years after High School Graduation for Classes 2019 and 2020, Student-Weighted Totals</v>
      </c>
      <c r="O69" s="30"/>
    </row>
    <row r="70" spans="1:22" ht="28.8" x14ac:dyDescent="0.3">
      <c r="A70" s="33"/>
      <c r="B70" s="34" t="s">
        <v>362</v>
      </c>
      <c r="C70" s="35" t="s">
        <v>363</v>
      </c>
      <c r="D70" s="35" t="s">
        <v>34</v>
      </c>
      <c r="E70" s="35" t="s">
        <v>35</v>
      </c>
      <c r="F70" s="35" t="s">
        <v>364</v>
      </c>
      <c r="G70" s="35" t="s">
        <v>365</v>
      </c>
      <c r="H70" s="35" t="s">
        <v>366</v>
      </c>
      <c r="I70" s="35" t="s">
        <v>367</v>
      </c>
      <c r="N70" s="33"/>
      <c r="O70" s="34" t="s">
        <v>362</v>
      </c>
      <c r="P70" s="35" t="s">
        <v>363</v>
      </c>
      <c r="Q70" s="35" t="s">
        <v>34</v>
      </c>
      <c r="R70" s="35" t="s">
        <v>35</v>
      </c>
      <c r="S70" s="35" t="s">
        <v>364</v>
      </c>
      <c r="T70" s="35" t="s">
        <v>365</v>
      </c>
      <c r="U70" s="35" t="s">
        <v>366</v>
      </c>
      <c r="V70" s="35" t="s">
        <v>367</v>
      </c>
    </row>
    <row r="71" spans="1:22" x14ac:dyDescent="0.3">
      <c r="A71" s="36">
        <v>2019</v>
      </c>
      <c r="B71" s="34">
        <v>860127</v>
      </c>
      <c r="C71" s="55">
        <v>0.65100000000000002</v>
      </c>
      <c r="D71" s="55">
        <v>0.56899999999999995</v>
      </c>
      <c r="E71" s="55">
        <v>8.2000000000000003E-2</v>
      </c>
      <c r="F71" s="55">
        <v>0.30099999999999999</v>
      </c>
      <c r="G71" s="55">
        <v>0.35099999999999998</v>
      </c>
      <c r="H71" s="55">
        <v>0.57499999999999996</v>
      </c>
      <c r="I71" s="55">
        <v>7.5999999999999998E-2</v>
      </c>
      <c r="N71" s="36">
        <v>2019</v>
      </c>
      <c r="O71" s="34">
        <v>1234594</v>
      </c>
      <c r="P71" s="55">
        <v>0.73199999999999998</v>
      </c>
      <c r="Q71" s="55">
        <v>0.58399999999999996</v>
      </c>
      <c r="R71" s="55">
        <v>0.14799999999999999</v>
      </c>
      <c r="S71" s="55">
        <v>0.23200000000000001</v>
      </c>
      <c r="T71" s="55">
        <v>0.5</v>
      </c>
      <c r="U71" s="55">
        <v>0.56299999999999994</v>
      </c>
      <c r="V71" s="55">
        <v>0.16900000000000001</v>
      </c>
    </row>
    <row r="72" spans="1:22" x14ac:dyDescent="0.3">
      <c r="A72" s="36">
        <v>2020</v>
      </c>
      <c r="B72" s="34">
        <v>863730</v>
      </c>
      <c r="C72" s="55">
        <v>0.61099999999999999</v>
      </c>
      <c r="D72" s="55">
        <v>0.52800000000000002</v>
      </c>
      <c r="E72" s="55">
        <v>8.3000000000000004E-2</v>
      </c>
      <c r="F72" s="55">
        <v>0.26900000000000002</v>
      </c>
      <c r="G72" s="55">
        <v>0.34300000000000003</v>
      </c>
      <c r="H72" s="55">
        <v>0.53500000000000003</v>
      </c>
      <c r="I72" s="55">
        <v>7.5999999999999998E-2</v>
      </c>
      <c r="N72" s="36">
        <v>2020</v>
      </c>
      <c r="O72" s="34">
        <v>1197373</v>
      </c>
      <c r="P72" s="55">
        <v>0.70499999999999996</v>
      </c>
      <c r="Q72" s="55">
        <v>0.56100000000000005</v>
      </c>
      <c r="R72" s="55">
        <v>0.14399999999999999</v>
      </c>
      <c r="S72" s="55">
        <v>0.222</v>
      </c>
      <c r="T72" s="55">
        <v>0.48299999999999998</v>
      </c>
      <c r="U72" s="55">
        <v>0.53900000000000003</v>
      </c>
      <c r="V72" s="55">
        <v>0.16600000000000001</v>
      </c>
    </row>
    <row r="73" spans="1:22" x14ac:dyDescent="0.3">
      <c r="B73" s="30"/>
      <c r="O73" s="30"/>
    </row>
    <row r="74" spans="1:22" x14ac:dyDescent="0.3">
      <c r="A74" s="24" t="str">
        <f>CONCATENATE("Figure ", RIGHT(A69,LEN(A69)-6))</f>
        <v>Figure 43a. College Enrollment Rates in the First Two Years after High School Graduation for Classes 2019 and 2020, Student-Weighted Totals</v>
      </c>
      <c r="B74" s="30"/>
      <c r="N74" s="24" t="str">
        <f>CONCATENATE("Figure ", RIGHT(N69,LEN(N69)-6))</f>
        <v>Figure 43b. College Enrollment Rates in the First Two Years after High School Graduation for Classes 2019 and 2020, Student-Weighted Totals</v>
      </c>
      <c r="O74" s="30"/>
    </row>
    <row r="75" spans="1:22" x14ac:dyDescent="0.3">
      <c r="B75" s="30"/>
      <c r="O75" s="30"/>
    </row>
    <row r="76" spans="1:22" x14ac:dyDescent="0.3">
      <c r="B76" s="30"/>
      <c r="O76" s="30"/>
    </row>
    <row r="77" spans="1:22" x14ac:dyDescent="0.3">
      <c r="B77" s="30"/>
      <c r="O77" s="30"/>
    </row>
    <row r="78" spans="1:22" x14ac:dyDescent="0.3">
      <c r="B78" s="30"/>
      <c r="O78" s="30"/>
    </row>
    <row r="79" spans="1:22" x14ac:dyDescent="0.3">
      <c r="B79" s="30"/>
      <c r="O79" s="30"/>
    </row>
    <row r="80" spans="1:22" x14ac:dyDescent="0.3">
      <c r="B80" s="30"/>
      <c r="O80" s="30"/>
    </row>
    <row r="81" spans="1:18" x14ac:dyDescent="0.3">
      <c r="B81" s="30"/>
      <c r="O81" s="30"/>
    </row>
    <row r="82" spans="1:18" x14ac:dyDescent="0.3">
      <c r="B82" s="30"/>
      <c r="O82" s="30"/>
    </row>
    <row r="83" spans="1:18" x14ac:dyDescent="0.3">
      <c r="B83" s="30"/>
      <c r="O83" s="30"/>
    </row>
    <row r="84" spans="1:18" x14ac:dyDescent="0.3">
      <c r="B84" s="30"/>
      <c r="O84" s="30"/>
    </row>
    <row r="85" spans="1:18" x14ac:dyDescent="0.3">
      <c r="B85" s="30"/>
      <c r="O85" s="30"/>
    </row>
    <row r="86" spans="1:18" x14ac:dyDescent="0.3">
      <c r="B86" s="30"/>
      <c r="O86" s="30"/>
    </row>
    <row r="87" spans="1:18" x14ac:dyDescent="0.3">
      <c r="B87" s="30"/>
      <c r="O87" s="30"/>
    </row>
    <row r="88" spans="1:18" x14ac:dyDescent="0.3">
      <c r="B88" s="30"/>
      <c r="O88" s="30"/>
    </row>
    <row r="89" spans="1:18" x14ac:dyDescent="0.3">
      <c r="B89" s="30"/>
      <c r="O89" s="30"/>
    </row>
    <row r="90" spans="1:18" x14ac:dyDescent="0.3">
      <c r="B90" s="30"/>
      <c r="O90" s="30"/>
    </row>
    <row r="91" spans="1:18" x14ac:dyDescent="0.3">
      <c r="B91" s="30"/>
      <c r="O91" s="30"/>
    </row>
    <row r="92" spans="1:18" x14ac:dyDescent="0.3">
      <c r="B92" s="30"/>
      <c r="O92" s="30"/>
    </row>
    <row r="93" spans="1:18" x14ac:dyDescent="0.3">
      <c r="B93" s="30"/>
      <c r="O93" s="30"/>
    </row>
    <row r="94" spans="1:18" x14ac:dyDescent="0.3">
      <c r="A94" s="48" t="str">
        <f>CONCATENATE("Table 44a. Persistence Rates from First to Second Year of College for Class of ",A96,", School Percentile Distribution")</f>
        <v>Table 44a. Persistence Rates from First to Second Year of College for Class of 2020, School Percentile Distribution</v>
      </c>
      <c r="B94" s="30"/>
      <c r="N94" s="48" t="str">
        <f>CONCATENATE("Table 44b. Persistence Rates from First to Second Year of College for Class of ",N96,", School Percentile Distribution")</f>
        <v>Table 44b. Persistence Rates from First to Second Year of College for Class of 2020, School Percentile Distribution</v>
      </c>
      <c r="O94" s="30"/>
    </row>
    <row r="95" spans="1:18" ht="28.8" x14ac:dyDescent="0.3">
      <c r="A95" s="33"/>
      <c r="B95" s="34" t="s">
        <v>358</v>
      </c>
      <c r="C95" s="35" t="s">
        <v>359</v>
      </c>
      <c r="D95" s="35" t="s">
        <v>360</v>
      </c>
      <c r="E95" s="35" t="s">
        <v>361</v>
      </c>
      <c r="N95" s="33"/>
      <c r="O95" s="34" t="s">
        <v>358</v>
      </c>
      <c r="P95" s="35" t="s">
        <v>359</v>
      </c>
      <c r="Q95" s="35" t="s">
        <v>360</v>
      </c>
      <c r="R95" s="35" t="s">
        <v>361</v>
      </c>
    </row>
    <row r="96" spans="1:18" x14ac:dyDescent="0.3">
      <c r="A96" s="36">
        <v>2020</v>
      </c>
      <c r="B96" s="46">
        <v>3046</v>
      </c>
      <c r="C96" s="56">
        <v>0.67500000000000004</v>
      </c>
      <c r="D96" s="56">
        <v>0.755</v>
      </c>
      <c r="E96" s="56">
        <v>0.82</v>
      </c>
      <c r="N96" s="36">
        <v>2020</v>
      </c>
      <c r="O96" s="46">
        <v>6826</v>
      </c>
      <c r="P96" s="56">
        <v>0.73799999999999999</v>
      </c>
      <c r="Q96" s="56">
        <v>0.81899999999999995</v>
      </c>
      <c r="R96" s="56">
        <v>0.88700000000000001</v>
      </c>
    </row>
    <row r="97" spans="1:22" x14ac:dyDescent="0.3">
      <c r="B97" s="30"/>
      <c r="O97" s="30"/>
    </row>
    <row r="98" spans="1:22" x14ac:dyDescent="0.3">
      <c r="A98" s="48" t="str">
        <f>CONCATENATE("Table 45a. Persistence Rates from First to Second Year of College for Class of ",A100,", Student-Weighted Totals")</f>
        <v>Table 45a. Persistence Rates from First to Second Year of College for Class of 2020, Student-Weighted Totals</v>
      </c>
      <c r="B98" s="30"/>
      <c r="N98" s="48" t="str">
        <f>CONCATENATE("Table 45b. Persistence Rates from First to Second Year of College for Class of ",N100,", Student-Weighted Totals")</f>
        <v>Table 45b. Persistence Rates from First to Second Year of College for Class of 2020, Student-Weighted Totals</v>
      </c>
      <c r="O98" s="30"/>
    </row>
    <row r="99" spans="1:22" ht="57.6" customHeight="1" x14ac:dyDescent="0.3">
      <c r="A99" s="33"/>
      <c r="B99" s="34" t="s">
        <v>368</v>
      </c>
      <c r="C99" s="35" t="s">
        <v>363</v>
      </c>
      <c r="D99" s="35" t="s">
        <v>34</v>
      </c>
      <c r="E99" s="35" t="s">
        <v>35</v>
      </c>
      <c r="F99" s="35" t="s">
        <v>364</v>
      </c>
      <c r="G99" s="35" t="s">
        <v>365</v>
      </c>
      <c r="H99" s="35" t="s">
        <v>366</v>
      </c>
      <c r="I99" s="35" t="s">
        <v>367</v>
      </c>
      <c r="N99" s="33"/>
      <c r="O99" s="34" t="s">
        <v>368</v>
      </c>
      <c r="P99" s="35" t="s">
        <v>363</v>
      </c>
      <c r="Q99" s="35" t="s">
        <v>34</v>
      </c>
      <c r="R99" s="35" t="s">
        <v>35</v>
      </c>
      <c r="S99" s="35" t="s">
        <v>364</v>
      </c>
      <c r="T99" s="35" t="s">
        <v>365</v>
      </c>
      <c r="U99" s="35" t="s">
        <v>366</v>
      </c>
      <c r="V99" s="35" t="s">
        <v>367</v>
      </c>
    </row>
    <row r="100" spans="1:22" x14ac:dyDescent="0.3">
      <c r="A100" s="36">
        <v>2020</v>
      </c>
      <c r="B100" s="34">
        <v>492076</v>
      </c>
      <c r="C100" s="55">
        <v>0.77800000000000002</v>
      </c>
      <c r="D100" s="55">
        <v>0.77200000000000002</v>
      </c>
      <c r="E100" s="55">
        <v>0.82</v>
      </c>
      <c r="F100" s="55">
        <v>0.67600000000000005</v>
      </c>
      <c r="G100" s="55">
        <v>0.85299999999999998</v>
      </c>
      <c r="H100" s="55">
        <v>0.77100000000000002</v>
      </c>
      <c r="I100" s="55">
        <v>0.83099999999999996</v>
      </c>
      <c r="N100" s="36">
        <v>2020</v>
      </c>
      <c r="O100" s="34">
        <v>800267</v>
      </c>
      <c r="P100" s="55">
        <v>0.85499999999999998</v>
      </c>
      <c r="Q100" s="55">
        <v>0.84</v>
      </c>
      <c r="R100" s="55">
        <v>0.91400000000000003</v>
      </c>
      <c r="S100" s="55">
        <v>0.72099999999999997</v>
      </c>
      <c r="T100" s="55">
        <v>0.91300000000000003</v>
      </c>
      <c r="U100" s="55">
        <v>0.83699999999999997</v>
      </c>
      <c r="V100" s="55">
        <v>0.91700000000000004</v>
      </c>
    </row>
    <row r="101" spans="1:22" x14ac:dyDescent="0.3">
      <c r="B101" s="30"/>
      <c r="O101" s="30"/>
    </row>
    <row r="102" spans="1:22" x14ac:dyDescent="0.3">
      <c r="A102" s="24" t="str">
        <f>CONCATENATE("Figure ", RIGHT(A98,LEN(A98)-6))</f>
        <v>Figure 45a. Persistence Rates from First to Second Year of College for Class of 2020, Student-Weighted Totals</v>
      </c>
      <c r="B102" s="30"/>
      <c r="N102" s="24" t="str">
        <f>CONCATENATE("Figure ", RIGHT(N98,LEN(N98)-6))</f>
        <v>Figure 45b. Persistence Rates from First to Second Year of College for Class of 2020, Student-Weighted Totals</v>
      </c>
      <c r="O102" s="30"/>
    </row>
    <row r="103" spans="1:22" x14ac:dyDescent="0.3">
      <c r="B103" s="30"/>
      <c r="O103" s="30"/>
    </row>
    <row r="104" spans="1:22" x14ac:dyDescent="0.3">
      <c r="B104" s="30"/>
      <c r="O104" s="30"/>
    </row>
    <row r="105" spans="1:22" x14ac:dyDescent="0.3">
      <c r="B105" s="30"/>
      <c r="O105" s="30"/>
    </row>
    <row r="106" spans="1:22" x14ac:dyDescent="0.3">
      <c r="B106" s="30"/>
      <c r="O106" s="30"/>
    </row>
    <row r="107" spans="1:22" x14ac:dyDescent="0.3">
      <c r="B107" s="30"/>
      <c r="O107" s="30"/>
    </row>
    <row r="108" spans="1:22" x14ac:dyDescent="0.3">
      <c r="B108" s="30"/>
      <c r="O108" s="30"/>
    </row>
    <row r="109" spans="1:22" x14ac:dyDescent="0.3">
      <c r="B109" s="30"/>
      <c r="O109" s="30"/>
    </row>
    <row r="110" spans="1:22" x14ac:dyDescent="0.3">
      <c r="B110" s="30"/>
      <c r="O110" s="30"/>
    </row>
    <row r="111" spans="1:22" x14ac:dyDescent="0.3">
      <c r="B111" s="30"/>
      <c r="O111" s="30"/>
    </row>
    <row r="112" spans="1:22" x14ac:dyDescent="0.3">
      <c r="B112" s="30"/>
      <c r="O112" s="30"/>
    </row>
    <row r="113" spans="1:22" x14ac:dyDescent="0.3">
      <c r="B113" s="30"/>
      <c r="O113" s="30"/>
    </row>
    <row r="114" spans="1:22" x14ac:dyDescent="0.3">
      <c r="B114" s="30"/>
      <c r="O114" s="30"/>
    </row>
    <row r="115" spans="1:22" x14ac:dyDescent="0.3">
      <c r="B115" s="30"/>
      <c r="O115" s="30"/>
    </row>
    <row r="116" spans="1:22" x14ac:dyDescent="0.3">
      <c r="B116" s="30"/>
      <c r="O116" s="30"/>
    </row>
    <row r="117" spans="1:22" x14ac:dyDescent="0.3">
      <c r="B117" s="30"/>
      <c r="O117" s="30"/>
    </row>
    <row r="118" spans="1:22" x14ac:dyDescent="0.3">
      <c r="B118" s="30"/>
      <c r="O118" s="30"/>
    </row>
    <row r="119" spans="1:22" x14ac:dyDescent="0.3">
      <c r="B119" s="30"/>
      <c r="O119" s="30"/>
    </row>
    <row r="120" spans="1:22" x14ac:dyDescent="0.3">
      <c r="B120" s="30"/>
      <c r="O120" s="30"/>
    </row>
    <row r="121" spans="1:22" x14ac:dyDescent="0.3">
      <c r="B121" s="30"/>
      <c r="O121" s="30"/>
    </row>
    <row r="122" spans="1:22" x14ac:dyDescent="0.3">
      <c r="A122" s="48" t="str">
        <f>CONCATENATE("Table 46a. Six-Year Completion Rates for Class of ",A124,", School Percentile Distribution")</f>
        <v>Table 46a. Six-Year Completion Rates for Class of 2016, School Percentile Distribution</v>
      </c>
      <c r="B122" s="30"/>
      <c r="N122" s="48" t="str">
        <f>CONCATENATE("Table 46b. Six-Year Completion Rates for Class of ",N124,", School Percentile Distribution")</f>
        <v>Table 46b. Six-Year Completion Rates for Class of 2016, School Percentile Distribution</v>
      </c>
      <c r="O122" s="30"/>
    </row>
    <row r="123" spans="1:22" ht="28.8" x14ac:dyDescent="0.3">
      <c r="A123" s="33"/>
      <c r="B123" s="34" t="s">
        <v>358</v>
      </c>
      <c r="C123" s="35" t="s">
        <v>359</v>
      </c>
      <c r="D123" s="35" t="s">
        <v>360</v>
      </c>
      <c r="E123" s="35" t="s">
        <v>361</v>
      </c>
      <c r="N123" s="33"/>
      <c r="O123" s="34" t="s">
        <v>358</v>
      </c>
      <c r="P123" s="35" t="s">
        <v>359</v>
      </c>
      <c r="Q123" s="35" t="s">
        <v>360</v>
      </c>
      <c r="R123" s="35" t="s">
        <v>361</v>
      </c>
    </row>
    <row r="124" spans="1:22" x14ac:dyDescent="0.3">
      <c r="A124" s="36">
        <v>2016</v>
      </c>
      <c r="B124" s="46">
        <v>2733</v>
      </c>
      <c r="C124" s="56">
        <v>0.189</v>
      </c>
      <c r="D124" s="56">
        <v>0.28000000000000003</v>
      </c>
      <c r="E124" s="56">
        <v>0.375</v>
      </c>
      <c r="N124" s="36">
        <v>2016</v>
      </c>
      <c r="O124" s="46">
        <v>6678</v>
      </c>
      <c r="P124" s="56">
        <v>0.32600000000000001</v>
      </c>
      <c r="Q124" s="56">
        <v>0.436</v>
      </c>
      <c r="R124" s="56">
        <v>0.55600000000000005</v>
      </c>
    </row>
    <row r="125" spans="1:22" x14ac:dyDescent="0.3">
      <c r="B125" s="30"/>
      <c r="O125" s="30"/>
    </row>
    <row r="126" spans="1:22" x14ac:dyDescent="0.3">
      <c r="A126" s="48" t="str">
        <f>CONCATENATE("Table 47a. Six-Year Completion Rates for Class of ",A128, ", Student-Weighted Totals")</f>
        <v>Table 47a. Six-Year Completion Rates for Class of 2016, Student-Weighted Totals</v>
      </c>
      <c r="B126" s="30"/>
      <c r="N126" s="48" t="str">
        <f>CONCATENATE("Table 47b. Six-Year Completion Rates for Class of ",N128, ", Student-Weighted Totals")</f>
        <v>Table 47b. Six-Year Completion Rates for Class of 2016, Student-Weighted Totals</v>
      </c>
      <c r="O126" s="30"/>
    </row>
    <row r="127" spans="1:22" ht="28.8" x14ac:dyDescent="0.3">
      <c r="A127" s="33"/>
      <c r="B127" s="34" t="s">
        <v>362</v>
      </c>
      <c r="C127" s="35" t="s">
        <v>363</v>
      </c>
      <c r="D127" s="35" t="s">
        <v>34</v>
      </c>
      <c r="E127" s="35" t="s">
        <v>35</v>
      </c>
      <c r="F127" s="35" t="s">
        <v>364</v>
      </c>
      <c r="G127" s="35" t="s">
        <v>365</v>
      </c>
      <c r="H127" s="35" t="s">
        <v>366</v>
      </c>
      <c r="I127" s="35" t="s">
        <v>367</v>
      </c>
      <c r="N127" s="33"/>
      <c r="O127" s="34" t="s">
        <v>362</v>
      </c>
      <c r="P127" s="35" t="s">
        <v>363</v>
      </c>
      <c r="Q127" s="35" t="s">
        <v>34</v>
      </c>
      <c r="R127" s="35" t="s">
        <v>35</v>
      </c>
      <c r="S127" s="35" t="s">
        <v>364</v>
      </c>
      <c r="T127" s="35" t="s">
        <v>365</v>
      </c>
      <c r="U127" s="35" t="s">
        <v>366</v>
      </c>
      <c r="V127" s="35" t="s">
        <v>367</v>
      </c>
    </row>
    <row r="128" spans="1:22" x14ac:dyDescent="0.3">
      <c r="A128" s="36">
        <v>2016</v>
      </c>
      <c r="B128" s="34">
        <v>708696</v>
      </c>
      <c r="C128" s="55">
        <v>0.318</v>
      </c>
      <c r="D128" s="55">
        <v>0.26200000000000001</v>
      </c>
      <c r="E128" s="55">
        <v>5.6000000000000001E-2</v>
      </c>
      <c r="F128" s="55">
        <v>8.8999999999999996E-2</v>
      </c>
      <c r="G128" s="55">
        <v>0.22900000000000001</v>
      </c>
      <c r="H128" s="55">
        <v>0.27</v>
      </c>
      <c r="I128" s="55">
        <v>4.8000000000000001E-2</v>
      </c>
      <c r="N128" s="36">
        <v>2016</v>
      </c>
      <c r="O128" s="34">
        <v>1183080</v>
      </c>
      <c r="P128" s="55">
        <v>0.495</v>
      </c>
      <c r="Q128" s="55">
        <v>0.372</v>
      </c>
      <c r="R128" s="55">
        <v>0.123</v>
      </c>
      <c r="S128" s="55">
        <v>9.2999999999999999E-2</v>
      </c>
      <c r="T128" s="55">
        <v>0.40200000000000002</v>
      </c>
      <c r="U128" s="55">
        <v>0.36099999999999999</v>
      </c>
      <c r="V128" s="55">
        <v>0.13400000000000001</v>
      </c>
    </row>
    <row r="129" spans="1:15" x14ac:dyDescent="0.3">
      <c r="B129" s="30"/>
      <c r="O129" s="30"/>
    </row>
    <row r="130" spans="1:15" x14ac:dyDescent="0.3">
      <c r="A130" s="24" t="str">
        <f>CONCATENATE("Figure ", RIGHT(A126,LEN(A126)-6))</f>
        <v>Figure 47a. Six-Year Completion Rates for Class of 2016, Student-Weighted Totals</v>
      </c>
      <c r="B130" s="30"/>
      <c r="N130" s="24" t="str">
        <f>CONCATENATE("Figure ", RIGHT(N126,LEN(N126)-6))</f>
        <v>Figure 47b. Six-Year Completion Rates for Class of 2016, Student-Weighted Totals</v>
      </c>
      <c r="O130" s="30"/>
    </row>
    <row r="131" spans="1:15" x14ac:dyDescent="0.3">
      <c r="B131" s="30"/>
      <c r="O131" s="30"/>
    </row>
    <row r="132" spans="1:15" x14ac:dyDescent="0.3">
      <c r="B132" s="30"/>
      <c r="O132" s="30"/>
    </row>
    <row r="133" spans="1:15" x14ac:dyDescent="0.3">
      <c r="B133" s="30"/>
      <c r="O133" s="30"/>
    </row>
    <row r="134" spans="1:15" x14ac:dyDescent="0.3">
      <c r="B134" s="30"/>
      <c r="O134" s="30"/>
    </row>
    <row r="135" spans="1:15" x14ac:dyDescent="0.3">
      <c r="B135" s="30"/>
      <c r="O135" s="30"/>
    </row>
    <row r="136" spans="1:15" x14ac:dyDescent="0.3">
      <c r="B136" s="30"/>
      <c r="O136" s="30"/>
    </row>
    <row r="137" spans="1:15" x14ac:dyDescent="0.3">
      <c r="B137" s="30"/>
      <c r="O137" s="30"/>
    </row>
    <row r="138" spans="1:15" x14ac:dyDescent="0.3">
      <c r="B138" s="30"/>
      <c r="O138" s="30"/>
    </row>
    <row r="139" spans="1:15" x14ac:dyDescent="0.3">
      <c r="B139" s="30"/>
      <c r="O139" s="30"/>
    </row>
    <row r="140" spans="1:15" x14ac:dyDescent="0.3">
      <c r="B140" s="30"/>
      <c r="O140" s="30"/>
    </row>
    <row r="141" spans="1:15" x14ac:dyDescent="0.3">
      <c r="B141" s="30"/>
      <c r="O141" s="30"/>
    </row>
    <row r="142" spans="1:15" x14ac:dyDescent="0.3">
      <c r="B142" s="30"/>
      <c r="O142" s="30"/>
    </row>
    <row r="143" spans="1:15" x14ac:dyDescent="0.3">
      <c r="B143" s="30"/>
      <c r="O143" s="30"/>
    </row>
    <row r="144" spans="1:15" x14ac:dyDescent="0.3">
      <c r="B144" s="30"/>
      <c r="O144" s="30"/>
    </row>
    <row r="145" spans="2:15" x14ac:dyDescent="0.3">
      <c r="B145" s="30"/>
      <c r="O145" s="30"/>
    </row>
    <row r="146" spans="2:15" x14ac:dyDescent="0.3">
      <c r="B146" s="30"/>
      <c r="O146" s="30"/>
    </row>
    <row r="147" spans="2:15" x14ac:dyDescent="0.3">
      <c r="B147" s="30"/>
      <c r="O147" s="30"/>
    </row>
    <row r="148" spans="2:15" x14ac:dyDescent="0.3">
      <c r="B148" s="30"/>
      <c r="O148" s="30"/>
    </row>
  </sheetData>
  <mergeCells count="2">
    <mergeCell ref="A2:L2"/>
    <mergeCell ref="N2:Y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51B43-359E-4B0C-A90B-921D47EAC4E1}">
  <dimension ref="A1:AL148"/>
  <sheetViews>
    <sheetView zoomScale="80" zoomScaleNormal="80" workbookViewId="0">
      <pane ySplit="2" topLeftCell="A3" activePane="bottomLeft" state="frozen"/>
      <selection activeCell="A61" sqref="A61:A62"/>
      <selection pane="bottomLeft"/>
    </sheetView>
  </sheetViews>
  <sheetFormatPr defaultRowHeight="14.4" x14ac:dyDescent="0.3"/>
  <cols>
    <col min="2" max="9" width="10.6640625" customWidth="1"/>
    <col min="15" max="22" width="10.6640625" customWidth="1"/>
    <col min="28" max="35" width="10.6640625" customWidth="1"/>
  </cols>
  <sheetData>
    <row r="1" spans="1:38" ht="28.8" x14ac:dyDescent="0.3">
      <c r="A1" s="87" t="s">
        <v>398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</row>
    <row r="2" spans="1:38" s="89" customFormat="1" ht="18" x14ac:dyDescent="0.35">
      <c r="A2" s="106" t="s">
        <v>372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88"/>
      <c r="N2" s="106" t="s">
        <v>373</v>
      </c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AA2" s="106" t="s">
        <v>374</v>
      </c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</row>
    <row r="3" spans="1:38" x14ac:dyDescent="0.3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2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</row>
    <row r="4" spans="1:38" x14ac:dyDescent="0.3">
      <c r="A4" s="24" t="str">
        <f>CONCATENATE("Table 48a. College Enrollment Rates in the First Fall after High School Graduation for Classes ",A6," and ",A7,", School Percentile Distribution")</f>
        <v>Table 48a. College Enrollment Rates in the First Fall after High School Graduation for Classes 2021 and 2022, School Percentile Distribution</v>
      </c>
      <c r="B4" s="30"/>
      <c r="N4" s="24" t="str">
        <f>CONCATENATE("Table 48b. College Enrollment Rates in the First Fall after High School Graduation for Classes ",N6," and ",N7,", School Percentile Distribution")</f>
        <v>Table 48b. College Enrollment Rates in the First Fall after High School Graduation for Classes 2021 and 2022, School Percentile Distribution</v>
      </c>
      <c r="O4" s="30"/>
      <c r="AA4" s="24" t="str">
        <f>CONCATENATE("Table 48c. College Enrollment Rates in the First Fall after High School Graduation for Classes ",AA6," and ",AA7,", School Percentile Distribution")</f>
        <v>Table 48c. College Enrollment Rates in the First Fall after High School Graduation for Classes 2021 and 2022, School Percentile Distribution</v>
      </c>
      <c r="AB4" s="30"/>
    </row>
    <row r="5" spans="1:38" ht="28.8" x14ac:dyDescent="0.3">
      <c r="A5" s="33"/>
      <c r="B5" s="34" t="s">
        <v>358</v>
      </c>
      <c r="C5" s="35" t="s">
        <v>359</v>
      </c>
      <c r="D5" s="35" t="s">
        <v>360</v>
      </c>
      <c r="E5" s="35" t="s">
        <v>361</v>
      </c>
      <c r="N5" s="33"/>
      <c r="O5" s="34" t="s">
        <v>358</v>
      </c>
      <c r="P5" s="35" t="s">
        <v>359</v>
      </c>
      <c r="Q5" s="35" t="s">
        <v>360</v>
      </c>
      <c r="R5" s="35" t="s">
        <v>361</v>
      </c>
      <c r="AA5" s="33"/>
      <c r="AB5" s="34" t="s">
        <v>358</v>
      </c>
      <c r="AC5" s="35" t="s">
        <v>359</v>
      </c>
      <c r="AD5" s="35" t="s">
        <v>360</v>
      </c>
      <c r="AE5" s="35" t="s">
        <v>361</v>
      </c>
    </row>
    <row r="6" spans="1:38" x14ac:dyDescent="0.3">
      <c r="A6" s="36">
        <v>2021</v>
      </c>
      <c r="B6" s="34">
        <v>2120</v>
      </c>
      <c r="C6" s="55">
        <v>0.39057471300000002</v>
      </c>
      <c r="D6" s="55">
        <v>0.54056179599999998</v>
      </c>
      <c r="E6" s="55">
        <v>0.69063283200000003</v>
      </c>
      <c r="G6" s="31"/>
      <c r="I6" s="31"/>
      <c r="N6" s="36">
        <v>2021</v>
      </c>
      <c r="O6" s="34">
        <v>2761</v>
      </c>
      <c r="P6" s="55">
        <v>0.47741935499999999</v>
      </c>
      <c r="Q6" s="55">
        <v>0.61538461499999997</v>
      </c>
      <c r="R6" s="55">
        <v>0.74217585699999999</v>
      </c>
      <c r="T6" s="31"/>
      <c r="V6" s="31"/>
      <c r="AA6" s="36">
        <v>2021</v>
      </c>
      <c r="AB6" s="34">
        <v>4831</v>
      </c>
      <c r="AC6" s="55">
        <v>0.41666666699999999</v>
      </c>
      <c r="AD6" s="55">
        <v>0.524752475</v>
      </c>
      <c r="AE6" s="55">
        <v>0.63636363600000001</v>
      </c>
      <c r="AG6" s="31"/>
      <c r="AI6" s="31"/>
    </row>
    <row r="7" spans="1:38" x14ac:dyDescent="0.3">
      <c r="A7" s="36">
        <v>2022</v>
      </c>
      <c r="B7" s="34">
        <v>1903</v>
      </c>
      <c r="C7" s="55">
        <v>0.40625</v>
      </c>
      <c r="D7" s="55">
        <v>0.54952076699999997</v>
      </c>
      <c r="E7" s="55">
        <v>0.69670710599999996</v>
      </c>
      <c r="N7" s="36">
        <v>2022</v>
      </c>
      <c r="O7" s="34">
        <v>2436</v>
      </c>
      <c r="P7" s="55">
        <v>0.49285568499999999</v>
      </c>
      <c r="Q7" s="55">
        <v>0.62796315000000003</v>
      </c>
      <c r="R7" s="55">
        <v>0.74391990399999997</v>
      </c>
      <c r="AA7" s="36">
        <v>2022</v>
      </c>
      <c r="AB7" s="34">
        <v>4159</v>
      </c>
      <c r="AC7" s="55">
        <v>0.41290322600000001</v>
      </c>
      <c r="AD7" s="55">
        <v>0.52380952400000003</v>
      </c>
      <c r="AE7" s="55">
        <v>0.625</v>
      </c>
    </row>
    <row r="8" spans="1:38" x14ac:dyDescent="0.3">
      <c r="B8" s="30"/>
      <c r="O8" s="30"/>
      <c r="AB8" s="30"/>
    </row>
    <row r="9" spans="1:38" x14ac:dyDescent="0.3">
      <c r="A9" s="24" t="str">
        <f>CONCATENATE("Table 49a. College Enrollment Rates in the First Fall after High School Graduation for Classes ",A11," and ",A12,", Student-Weighted Totals")</f>
        <v>Table 49a. College Enrollment Rates in the First Fall after High School Graduation for Classes 2021 and 2022, Student-Weighted Totals</v>
      </c>
      <c r="B9" s="30"/>
      <c r="N9" s="24" t="str">
        <f>CONCATENATE("Table 49b. College Enrollment Rates in the First Fall after High School Graduation for Classes ",N11," and ",N12,", Student-Weighted Totals")</f>
        <v>Table 49b. College Enrollment Rates in the First Fall after High School Graduation for Classes 2021 and 2022, Student-Weighted Totals</v>
      </c>
      <c r="O9" s="30"/>
      <c r="AA9" s="24" t="str">
        <f>CONCATENATE("Table 49c. College Enrollment Rates in the First Fall after High School Graduation for Classes ",AA11," and ",AA12,", Student-Weighted Totals")</f>
        <v>Table 49c. College Enrollment Rates in the First Fall after High School Graduation for Classes 2021 and 2022, Student-Weighted Totals</v>
      </c>
      <c r="AB9" s="30"/>
    </row>
    <row r="10" spans="1:38" ht="28.8" x14ac:dyDescent="0.3">
      <c r="A10" s="33"/>
      <c r="B10" s="34" t="s">
        <v>362</v>
      </c>
      <c r="C10" s="35" t="s">
        <v>363</v>
      </c>
      <c r="D10" s="35" t="s">
        <v>34</v>
      </c>
      <c r="E10" s="35" t="s">
        <v>35</v>
      </c>
      <c r="F10" s="35" t="s">
        <v>364</v>
      </c>
      <c r="G10" s="35" t="s">
        <v>365</v>
      </c>
      <c r="H10" s="35" t="s">
        <v>366</v>
      </c>
      <c r="I10" s="35" t="s">
        <v>367</v>
      </c>
      <c r="N10" s="33"/>
      <c r="O10" s="34" t="s">
        <v>362</v>
      </c>
      <c r="P10" s="35" t="s">
        <v>363</v>
      </c>
      <c r="Q10" s="35" t="s">
        <v>34</v>
      </c>
      <c r="R10" s="35" t="s">
        <v>35</v>
      </c>
      <c r="S10" s="35" t="s">
        <v>364</v>
      </c>
      <c r="T10" s="35" t="s">
        <v>365</v>
      </c>
      <c r="U10" s="35" t="s">
        <v>366</v>
      </c>
      <c r="V10" s="35" t="s">
        <v>367</v>
      </c>
      <c r="AA10" s="33"/>
      <c r="AB10" s="34" t="s">
        <v>362</v>
      </c>
      <c r="AC10" s="35" t="s">
        <v>363</v>
      </c>
      <c r="AD10" s="35" t="s">
        <v>34</v>
      </c>
      <c r="AE10" s="35" t="s">
        <v>35</v>
      </c>
      <c r="AF10" s="35" t="s">
        <v>364</v>
      </c>
      <c r="AG10" s="35" t="s">
        <v>365</v>
      </c>
      <c r="AH10" s="35" t="s">
        <v>366</v>
      </c>
      <c r="AI10" s="35" t="s">
        <v>367</v>
      </c>
    </row>
    <row r="11" spans="1:38" x14ac:dyDescent="0.3">
      <c r="A11" s="36">
        <v>2021</v>
      </c>
      <c r="B11" s="34">
        <v>570191</v>
      </c>
      <c r="C11" s="55">
        <v>0.56808508000000002</v>
      </c>
      <c r="D11" s="55">
        <v>0.47512851</v>
      </c>
      <c r="E11" s="55">
        <v>9.2956571000000002E-2</v>
      </c>
      <c r="F11" s="55">
        <v>0.18345782399999999</v>
      </c>
      <c r="G11" s="55">
        <v>0.38461147200000001</v>
      </c>
      <c r="H11" s="55">
        <v>0.46058952199999997</v>
      </c>
      <c r="I11" s="55">
        <v>0.107495559</v>
      </c>
      <c r="N11" s="36">
        <v>2021</v>
      </c>
      <c r="O11" s="34">
        <v>848383</v>
      </c>
      <c r="P11" s="55">
        <v>0.62039668400000003</v>
      </c>
      <c r="Q11" s="55">
        <v>0.489734</v>
      </c>
      <c r="R11" s="55">
        <v>0.130662684</v>
      </c>
      <c r="S11" s="55">
        <v>0.17130352700000001</v>
      </c>
      <c r="T11" s="55">
        <v>0.449082549</v>
      </c>
      <c r="U11" s="55">
        <v>0.46685871800000001</v>
      </c>
      <c r="V11" s="55">
        <v>0.153537966</v>
      </c>
      <c r="AA11" s="36">
        <v>2021</v>
      </c>
      <c r="AB11" s="34">
        <v>504589</v>
      </c>
      <c r="AC11" s="55">
        <v>0.54380099400000004</v>
      </c>
      <c r="AD11" s="55">
        <v>0.44883261400000002</v>
      </c>
      <c r="AE11" s="55">
        <v>9.4968380000000005E-2</v>
      </c>
      <c r="AF11" s="55">
        <v>0.19379732799999999</v>
      </c>
      <c r="AG11" s="55">
        <v>0.349991775</v>
      </c>
      <c r="AH11" s="55">
        <v>0.43867781500000003</v>
      </c>
      <c r="AI11" s="55">
        <v>0.105123179</v>
      </c>
    </row>
    <row r="12" spans="1:38" x14ac:dyDescent="0.3">
      <c r="A12" s="36">
        <v>2022</v>
      </c>
      <c r="B12" s="34">
        <v>506953</v>
      </c>
      <c r="C12" s="55">
        <v>0.58613125899999996</v>
      </c>
      <c r="D12" s="55">
        <v>0.49393730800000002</v>
      </c>
      <c r="E12" s="55">
        <v>9.2193950999999996E-2</v>
      </c>
      <c r="F12" s="55">
        <v>0.197197768</v>
      </c>
      <c r="G12" s="55">
        <v>0.38893349100000002</v>
      </c>
      <c r="H12" s="55">
        <v>0.48152590099999998</v>
      </c>
      <c r="I12" s="55">
        <v>0.104605358</v>
      </c>
      <c r="N12" s="36">
        <v>2022</v>
      </c>
      <c r="O12" s="34">
        <v>764091</v>
      </c>
      <c r="P12" s="55">
        <v>0.63709950800000004</v>
      </c>
      <c r="Q12" s="55">
        <v>0.50529714400000003</v>
      </c>
      <c r="R12" s="55">
        <v>0.13180236400000001</v>
      </c>
      <c r="S12" s="55">
        <v>0.17381175800000001</v>
      </c>
      <c r="T12" s="55">
        <v>0.46328775</v>
      </c>
      <c r="U12" s="55">
        <v>0.47802290600000003</v>
      </c>
      <c r="V12" s="55">
        <v>0.15907660200000001</v>
      </c>
      <c r="AA12" s="36">
        <v>2022</v>
      </c>
      <c r="AB12" s="34">
        <v>443884</v>
      </c>
      <c r="AC12" s="55">
        <v>0.54557947600000001</v>
      </c>
      <c r="AD12" s="55">
        <v>0.45046904100000001</v>
      </c>
      <c r="AE12" s="55">
        <v>9.5110433999999994E-2</v>
      </c>
      <c r="AF12" s="55">
        <v>0.18990547099999999</v>
      </c>
      <c r="AG12" s="55">
        <v>0.35567175200000001</v>
      </c>
      <c r="AH12" s="55">
        <v>0.43909895399999999</v>
      </c>
      <c r="AI12" s="55">
        <v>0.10648052199999999</v>
      </c>
    </row>
    <row r="13" spans="1:38" x14ac:dyDescent="0.3">
      <c r="B13" s="30"/>
      <c r="O13" s="30"/>
      <c r="AB13" s="30"/>
    </row>
    <row r="14" spans="1:38" x14ac:dyDescent="0.3">
      <c r="A14" s="24" t="str">
        <f>CONCATENATE("Figure ", RIGHT(A9,LEN(A9)-6))</f>
        <v>Figure 49a. College Enrollment Rates in the First Fall after High School Graduation for Classes 2021 and 2022, Student-Weighted Totals</v>
      </c>
      <c r="B14" s="30"/>
      <c r="N14" s="24" t="str">
        <f>CONCATENATE("Figure ", RIGHT(N9,LEN(N9)-6))</f>
        <v>Figure 49b. College Enrollment Rates in the First Fall after High School Graduation for Classes 2021 and 2022, Student-Weighted Totals</v>
      </c>
      <c r="O14" s="30"/>
      <c r="AA14" s="24" t="str">
        <f>CONCATENATE("Figure ", RIGHT(AA9,LEN(AA9)-6))</f>
        <v>Figure 49c. College Enrollment Rates in the First Fall after High School Graduation for Classes 2021 and 2022, Student-Weighted Totals</v>
      </c>
      <c r="AB14" s="30"/>
    </row>
    <row r="15" spans="1:38" x14ac:dyDescent="0.3">
      <c r="B15" s="30"/>
      <c r="O15" s="30"/>
      <c r="AB15" s="30"/>
    </row>
    <row r="16" spans="1:38" x14ac:dyDescent="0.3">
      <c r="B16" s="30"/>
      <c r="O16" s="30"/>
      <c r="AB16" s="30"/>
    </row>
    <row r="17" spans="2:28" x14ac:dyDescent="0.3">
      <c r="B17" s="30"/>
      <c r="O17" s="30"/>
      <c r="AB17" s="30"/>
    </row>
    <row r="18" spans="2:28" x14ac:dyDescent="0.3">
      <c r="B18" s="30"/>
      <c r="O18" s="30"/>
      <c r="AB18" s="30"/>
    </row>
    <row r="19" spans="2:28" x14ac:dyDescent="0.3">
      <c r="B19" s="30"/>
      <c r="O19" s="30"/>
      <c r="AB19" s="30"/>
    </row>
    <row r="20" spans="2:28" x14ac:dyDescent="0.3">
      <c r="B20" s="30"/>
      <c r="O20" s="30"/>
      <c r="AB20" s="30"/>
    </row>
    <row r="21" spans="2:28" x14ac:dyDescent="0.3">
      <c r="B21" s="30"/>
      <c r="O21" s="30"/>
      <c r="AB21" s="30"/>
    </row>
    <row r="22" spans="2:28" x14ac:dyDescent="0.3">
      <c r="B22" s="30"/>
      <c r="O22" s="30"/>
      <c r="AB22" s="30"/>
    </row>
    <row r="23" spans="2:28" x14ac:dyDescent="0.3">
      <c r="B23" s="30"/>
      <c r="O23" s="30"/>
      <c r="AB23" s="30"/>
    </row>
    <row r="24" spans="2:28" x14ac:dyDescent="0.3">
      <c r="B24" s="30"/>
      <c r="O24" s="30"/>
      <c r="AB24" s="30"/>
    </row>
    <row r="25" spans="2:28" x14ac:dyDescent="0.3">
      <c r="B25" s="30"/>
      <c r="O25" s="30"/>
      <c r="AB25" s="30"/>
    </row>
    <row r="26" spans="2:28" x14ac:dyDescent="0.3">
      <c r="B26" s="30"/>
      <c r="O26" s="30"/>
      <c r="AB26" s="30"/>
    </row>
    <row r="27" spans="2:28" x14ac:dyDescent="0.3">
      <c r="B27" s="30"/>
      <c r="O27" s="30"/>
      <c r="AB27" s="30"/>
    </row>
    <row r="28" spans="2:28" x14ac:dyDescent="0.3">
      <c r="B28" s="30"/>
      <c r="O28" s="30"/>
      <c r="AB28" s="30"/>
    </row>
    <row r="29" spans="2:28" x14ac:dyDescent="0.3">
      <c r="B29" s="30"/>
      <c r="O29" s="30"/>
      <c r="AB29" s="30"/>
    </row>
    <row r="30" spans="2:28" x14ac:dyDescent="0.3">
      <c r="B30" s="30"/>
      <c r="O30" s="30"/>
      <c r="AB30" s="30"/>
    </row>
    <row r="31" spans="2:28" x14ac:dyDescent="0.3">
      <c r="B31" s="30"/>
      <c r="O31" s="30"/>
      <c r="AB31" s="30"/>
    </row>
    <row r="32" spans="2:28" x14ac:dyDescent="0.3">
      <c r="B32" s="30"/>
      <c r="O32" s="30"/>
      <c r="AB32" s="30"/>
    </row>
    <row r="33" spans="1:35" x14ac:dyDescent="0.3">
      <c r="B33" s="30"/>
      <c r="O33" s="30"/>
      <c r="AB33" s="30"/>
    </row>
    <row r="34" spans="1:35" x14ac:dyDescent="0.3">
      <c r="A34" s="48" t="str">
        <f>CONCATENATE("Table 50a. College Enrollment Rates in the First Year after High School Graduation for Classes ",A36," and ",A37,", School Percentile Distribution")</f>
        <v>Table 50a. College Enrollment Rates in the First Year after High School Graduation for Classes 2020 and 2021, School Percentile Distribution</v>
      </c>
      <c r="B34" s="30"/>
      <c r="N34" s="48" t="str">
        <f>CONCATENATE("Table 50b. College Enrollment Rates in the First Year after High School Graduation for Classes ",N36," and ",N37,", School Percentile Distribution")</f>
        <v>Table 50b. College Enrollment Rates in the First Year after High School Graduation for Classes 2020 and 2021, School Percentile Distribution</v>
      </c>
      <c r="O34" s="30"/>
      <c r="AA34" s="48" t="str">
        <f>CONCATENATE("Table 50c. College Enrollment Rates in the First Year after High School Graduation for Classes ",AA36," and ",AA37,", School Percentile Distribution")</f>
        <v>Table 50c. College Enrollment Rates in the First Year after High School Graduation for Classes 2020 and 2021, School Percentile Distribution</v>
      </c>
      <c r="AB34" s="30"/>
    </row>
    <row r="35" spans="1:35" ht="28.8" x14ac:dyDescent="0.3">
      <c r="A35" s="33"/>
      <c r="B35" s="34" t="s">
        <v>358</v>
      </c>
      <c r="C35" s="34" t="s">
        <v>359</v>
      </c>
      <c r="D35" s="34" t="s">
        <v>360</v>
      </c>
      <c r="E35" s="34" t="s">
        <v>361</v>
      </c>
      <c r="N35" s="33"/>
      <c r="O35" s="34" t="s">
        <v>358</v>
      </c>
      <c r="P35" s="34" t="s">
        <v>359</v>
      </c>
      <c r="Q35" s="34" t="s">
        <v>360</v>
      </c>
      <c r="R35" s="34" t="s">
        <v>361</v>
      </c>
      <c r="AA35" s="33"/>
      <c r="AB35" s="34" t="s">
        <v>358</v>
      </c>
      <c r="AC35" s="34" t="s">
        <v>359</v>
      </c>
      <c r="AD35" s="34" t="s">
        <v>360</v>
      </c>
      <c r="AE35" s="34" t="s">
        <v>361</v>
      </c>
    </row>
    <row r="36" spans="1:35" x14ac:dyDescent="0.3">
      <c r="A36" s="36">
        <v>2020</v>
      </c>
      <c r="B36" s="34">
        <v>2166</v>
      </c>
      <c r="C36" s="55">
        <v>0.44332493699999997</v>
      </c>
      <c r="D36" s="55">
        <v>0.59013686300000001</v>
      </c>
      <c r="E36" s="55">
        <v>0.731414868</v>
      </c>
      <c r="N36" s="36">
        <v>2020</v>
      </c>
      <c r="O36" s="34">
        <v>2830</v>
      </c>
      <c r="P36" s="55">
        <v>0.53459119499999996</v>
      </c>
      <c r="Q36" s="55">
        <v>0.66280112000000002</v>
      </c>
      <c r="R36" s="55">
        <v>0.778061224</v>
      </c>
      <c r="AA36" s="36">
        <v>2020</v>
      </c>
      <c r="AB36" s="34">
        <v>4876</v>
      </c>
      <c r="AC36" s="55">
        <v>0.45897679600000002</v>
      </c>
      <c r="AD36" s="55">
        <v>0.56000000000000005</v>
      </c>
      <c r="AE36" s="55">
        <v>0.66666666699999999</v>
      </c>
    </row>
    <row r="37" spans="1:35" x14ac:dyDescent="0.3">
      <c r="A37" s="36">
        <v>2021</v>
      </c>
      <c r="B37" s="34">
        <v>2120</v>
      </c>
      <c r="C37" s="55">
        <v>0.43097776799999998</v>
      </c>
      <c r="D37" s="55">
        <v>0.57791810799999999</v>
      </c>
      <c r="E37" s="55">
        <v>0.72625313300000005</v>
      </c>
      <c r="N37" s="36">
        <v>2021</v>
      </c>
      <c r="O37" s="34">
        <v>2761</v>
      </c>
      <c r="P37" s="55">
        <v>0.51289009500000005</v>
      </c>
      <c r="Q37" s="55">
        <v>0.64761904800000003</v>
      </c>
      <c r="R37" s="55">
        <v>0.76997578700000002</v>
      </c>
      <c r="AA37" s="36">
        <v>2021</v>
      </c>
      <c r="AB37" s="34">
        <v>4831</v>
      </c>
      <c r="AC37" s="55">
        <v>0.44318181800000001</v>
      </c>
      <c r="AD37" s="55">
        <v>0.55319148900000004</v>
      </c>
      <c r="AE37" s="55">
        <v>0.662280702</v>
      </c>
    </row>
    <row r="38" spans="1:35" x14ac:dyDescent="0.3">
      <c r="B38" s="30"/>
      <c r="O38" s="30"/>
      <c r="AB38" s="30"/>
    </row>
    <row r="39" spans="1:35" x14ac:dyDescent="0.3">
      <c r="A39" s="48" t="str">
        <f>CONCATENATE("Table 51a. College Enrollment Rates in the First Year after High School Graduation for Classes ",A41," and ",A42,", Student-Weighted Totals")</f>
        <v>Table 51a. College Enrollment Rates in the First Year after High School Graduation for Classes 2020 and 2021, Student-Weighted Totals</v>
      </c>
      <c r="B39" s="30"/>
      <c r="N39" s="48" t="str">
        <f>CONCATENATE("Table 51b. College Enrollment Rates in the First Year after High School Graduation for Classes ",N41," and ",N42,", Student-Weighted Totals")</f>
        <v>Table 51b. College Enrollment Rates in the First Year after High School Graduation for Classes 2020 and 2021, Student-Weighted Totals</v>
      </c>
      <c r="O39" s="30"/>
      <c r="AA39" s="48" t="str">
        <f>CONCATENATE("Table 51c. College Enrollment Rates in the First Year after High School Graduation for Classes ",AA41," and ",AA42,", Student-Weighted Totals")</f>
        <v>Table 51c. College Enrollment Rates in the First Year after High School Graduation for Classes 2020 and 2021, Student-Weighted Totals</v>
      </c>
      <c r="AB39" s="30"/>
    </row>
    <row r="40" spans="1:35" ht="28.8" x14ac:dyDescent="0.3">
      <c r="A40" s="33"/>
      <c r="B40" s="34" t="s">
        <v>362</v>
      </c>
      <c r="C40" s="35" t="s">
        <v>363</v>
      </c>
      <c r="D40" s="35" t="s">
        <v>34</v>
      </c>
      <c r="E40" s="35" t="s">
        <v>35</v>
      </c>
      <c r="F40" s="35" t="s">
        <v>364</v>
      </c>
      <c r="G40" s="35" t="s">
        <v>365</v>
      </c>
      <c r="H40" s="35" t="s">
        <v>366</v>
      </c>
      <c r="I40" s="35" t="s">
        <v>367</v>
      </c>
      <c r="N40" s="33"/>
      <c r="O40" s="34" t="s">
        <v>362</v>
      </c>
      <c r="P40" s="35" t="s">
        <v>363</v>
      </c>
      <c r="Q40" s="35" t="s">
        <v>34</v>
      </c>
      <c r="R40" s="35" t="s">
        <v>35</v>
      </c>
      <c r="S40" s="35" t="s">
        <v>364</v>
      </c>
      <c r="T40" s="35" t="s">
        <v>365</v>
      </c>
      <c r="U40" s="35" t="s">
        <v>366</v>
      </c>
      <c r="V40" s="35" t="s">
        <v>367</v>
      </c>
      <c r="AA40" s="33"/>
      <c r="AB40" s="34" t="s">
        <v>362</v>
      </c>
      <c r="AC40" s="35" t="s">
        <v>363</v>
      </c>
      <c r="AD40" s="35" t="s">
        <v>34</v>
      </c>
      <c r="AE40" s="35" t="s">
        <v>35</v>
      </c>
      <c r="AF40" s="35" t="s">
        <v>364</v>
      </c>
      <c r="AG40" s="35" t="s">
        <v>365</v>
      </c>
      <c r="AH40" s="35" t="s">
        <v>366</v>
      </c>
      <c r="AI40" s="35" t="s">
        <v>367</v>
      </c>
    </row>
    <row r="41" spans="1:35" x14ac:dyDescent="0.3">
      <c r="A41" s="36">
        <v>2020</v>
      </c>
      <c r="B41" s="34">
        <v>619465</v>
      </c>
      <c r="C41" s="55">
        <v>0.61227187999999999</v>
      </c>
      <c r="D41" s="55">
        <v>0.51656671499999995</v>
      </c>
      <c r="E41" s="55">
        <v>9.5705164999999995E-2</v>
      </c>
      <c r="F41" s="55">
        <v>0.223936784</v>
      </c>
      <c r="G41" s="55">
        <v>0.38830603800000002</v>
      </c>
      <c r="H41" s="55">
        <v>0.51246963099999998</v>
      </c>
      <c r="I41" s="55">
        <v>9.9802248999999996E-2</v>
      </c>
      <c r="N41" s="36">
        <v>2020</v>
      </c>
      <c r="O41" s="34">
        <v>907699</v>
      </c>
      <c r="P41" s="55">
        <v>0.66593551399999995</v>
      </c>
      <c r="Q41" s="55">
        <v>0.53349623599999996</v>
      </c>
      <c r="R41" s="55">
        <v>0.13243927799999999</v>
      </c>
      <c r="S41" s="55">
        <v>0.20972811499999999</v>
      </c>
      <c r="T41" s="55">
        <v>0.45619638200000001</v>
      </c>
      <c r="U41" s="55">
        <v>0.52151208699999996</v>
      </c>
      <c r="V41" s="55">
        <v>0.14442342699999999</v>
      </c>
      <c r="AA41" s="36">
        <v>2020</v>
      </c>
      <c r="AB41" s="34">
        <v>533939</v>
      </c>
      <c r="AC41" s="55">
        <v>0.57795553399999999</v>
      </c>
      <c r="AD41" s="55">
        <v>0.480146609</v>
      </c>
      <c r="AE41" s="55">
        <v>9.7808926000000004E-2</v>
      </c>
      <c r="AF41" s="55">
        <v>0.22356673699999999</v>
      </c>
      <c r="AG41" s="55">
        <v>0.35438505100000001</v>
      </c>
      <c r="AH41" s="55">
        <v>0.47772685599999998</v>
      </c>
      <c r="AI41" s="55">
        <v>0.100228678</v>
      </c>
    </row>
    <row r="42" spans="1:35" x14ac:dyDescent="0.3">
      <c r="A42" s="36">
        <v>2021</v>
      </c>
      <c r="B42" s="34">
        <v>570191</v>
      </c>
      <c r="C42" s="55">
        <v>0.60171416200000005</v>
      </c>
      <c r="D42" s="55">
        <v>0.50348216700000004</v>
      </c>
      <c r="E42" s="55">
        <v>9.8231996000000002E-2</v>
      </c>
      <c r="F42" s="55">
        <v>0.20218839</v>
      </c>
      <c r="G42" s="55">
        <v>0.39950998900000001</v>
      </c>
      <c r="H42" s="55">
        <v>0.48900806899999999</v>
      </c>
      <c r="I42" s="55">
        <v>0.11270609299999999</v>
      </c>
      <c r="N42" s="36">
        <v>2021</v>
      </c>
      <c r="O42" s="34">
        <v>848383</v>
      </c>
      <c r="P42" s="55">
        <v>0.65262976699999997</v>
      </c>
      <c r="Q42" s="55">
        <v>0.51641888199999997</v>
      </c>
      <c r="R42" s="55">
        <v>0.136210886</v>
      </c>
      <c r="S42" s="55">
        <v>0.18726447800000001</v>
      </c>
      <c r="T42" s="55">
        <v>0.46535468099999999</v>
      </c>
      <c r="U42" s="55">
        <v>0.493310215</v>
      </c>
      <c r="V42" s="55">
        <v>0.159319553</v>
      </c>
      <c r="AA42" s="36">
        <v>2021</v>
      </c>
      <c r="AB42" s="34">
        <v>504589</v>
      </c>
      <c r="AC42" s="55">
        <v>0.57185154699999996</v>
      </c>
      <c r="AD42" s="55">
        <v>0.472198165</v>
      </c>
      <c r="AE42" s="55">
        <v>9.9653380999999999E-2</v>
      </c>
      <c r="AF42" s="55">
        <v>0.20882539999999999</v>
      </c>
      <c r="AG42" s="55">
        <v>0.36301029200000001</v>
      </c>
      <c r="AH42" s="55">
        <v>0.46114164200000002</v>
      </c>
      <c r="AI42" s="55">
        <v>0.110709904</v>
      </c>
    </row>
    <row r="43" spans="1:35" x14ac:dyDescent="0.3">
      <c r="B43" s="30"/>
      <c r="O43" s="30"/>
      <c r="AB43" s="30"/>
    </row>
    <row r="44" spans="1:35" x14ac:dyDescent="0.3">
      <c r="A44" s="24" t="str">
        <f>CONCATENATE("Figure ", RIGHT(A39,LEN(A39)-6))</f>
        <v>Figure 51a. College Enrollment Rates in the First Year after High School Graduation for Classes 2020 and 2021, Student-Weighted Totals</v>
      </c>
      <c r="B44" s="30"/>
      <c r="N44" s="24" t="str">
        <f>CONCATENATE("Figure ", RIGHT(N39,LEN(N39)-6))</f>
        <v>Figure 51b. College Enrollment Rates in the First Year after High School Graduation for Classes 2020 and 2021, Student-Weighted Totals</v>
      </c>
      <c r="O44" s="30"/>
      <c r="AA44" s="24" t="str">
        <f>CONCATENATE("Figure ", RIGHT(AA39,LEN(AA39)-6))</f>
        <v>Figure 51c. College Enrollment Rates in the First Year after High School Graduation for Classes 2020 and 2021, Student-Weighted Totals</v>
      </c>
      <c r="AB44" s="30"/>
    </row>
    <row r="45" spans="1:35" x14ac:dyDescent="0.3">
      <c r="B45" s="30"/>
      <c r="O45" s="30"/>
      <c r="AB45" s="30"/>
    </row>
    <row r="46" spans="1:35" x14ac:dyDescent="0.3">
      <c r="B46" s="30"/>
      <c r="O46" s="30"/>
      <c r="AB46" s="30"/>
    </row>
    <row r="47" spans="1:35" x14ac:dyDescent="0.3">
      <c r="B47" s="30"/>
      <c r="O47" s="30"/>
      <c r="AB47" s="30"/>
    </row>
    <row r="48" spans="1:35" x14ac:dyDescent="0.3">
      <c r="B48" s="30"/>
      <c r="O48" s="30"/>
      <c r="AB48" s="30"/>
    </row>
    <row r="49" spans="1:28" x14ac:dyDescent="0.3">
      <c r="B49" s="30"/>
      <c r="O49" s="30"/>
      <c r="AB49" s="30"/>
    </row>
    <row r="50" spans="1:28" x14ac:dyDescent="0.3">
      <c r="B50" s="30"/>
      <c r="O50" s="30"/>
      <c r="AB50" s="30"/>
    </row>
    <row r="51" spans="1:28" x14ac:dyDescent="0.3">
      <c r="B51" s="30"/>
      <c r="O51" s="30"/>
      <c r="AB51" s="30"/>
    </row>
    <row r="52" spans="1:28" x14ac:dyDescent="0.3">
      <c r="B52" s="30"/>
      <c r="O52" s="30"/>
      <c r="AB52" s="30"/>
    </row>
    <row r="53" spans="1:28" x14ac:dyDescent="0.3">
      <c r="B53" s="30"/>
      <c r="O53" s="30"/>
      <c r="AB53" s="30"/>
    </row>
    <row r="54" spans="1:28" x14ac:dyDescent="0.3">
      <c r="B54" s="30"/>
      <c r="O54" s="30"/>
      <c r="AB54" s="30"/>
    </row>
    <row r="55" spans="1:28" x14ac:dyDescent="0.3">
      <c r="B55" s="30"/>
      <c r="O55" s="30"/>
      <c r="AB55" s="30"/>
    </row>
    <row r="56" spans="1:28" x14ac:dyDescent="0.3">
      <c r="B56" s="30"/>
      <c r="O56" s="30"/>
      <c r="AB56" s="30"/>
    </row>
    <row r="57" spans="1:28" x14ac:dyDescent="0.3">
      <c r="B57" s="30"/>
      <c r="O57" s="30"/>
      <c r="AB57" s="30"/>
    </row>
    <row r="58" spans="1:28" x14ac:dyDescent="0.3">
      <c r="B58" s="30"/>
      <c r="O58" s="30"/>
      <c r="AB58" s="30"/>
    </row>
    <row r="59" spans="1:28" x14ac:dyDescent="0.3">
      <c r="B59" s="30"/>
      <c r="O59" s="30"/>
      <c r="AB59" s="30"/>
    </row>
    <row r="60" spans="1:28" x14ac:dyDescent="0.3">
      <c r="B60" s="30"/>
      <c r="O60" s="30"/>
      <c r="AB60" s="30"/>
    </row>
    <row r="61" spans="1:28" x14ac:dyDescent="0.3">
      <c r="B61" s="30"/>
      <c r="O61" s="30"/>
      <c r="AB61" s="30"/>
    </row>
    <row r="62" spans="1:28" x14ac:dyDescent="0.3">
      <c r="B62" s="30"/>
      <c r="O62" s="30"/>
      <c r="AB62" s="30"/>
    </row>
    <row r="63" spans="1:28" x14ac:dyDescent="0.3">
      <c r="B63" s="30"/>
      <c r="O63" s="30"/>
      <c r="AB63" s="30"/>
    </row>
    <row r="64" spans="1:28" x14ac:dyDescent="0.3">
      <c r="A64" s="48" t="str">
        <f>CONCATENATE("Table 52a. College Enrollment Rates in the First Two Years after High School Graduation for Classes ",A66," and ",A67,", School Percentile Distribution")</f>
        <v>Table 52a. College Enrollment Rates in the First Two Years after High School Graduation for Classes 2019 and 2020, School Percentile Distribution</v>
      </c>
      <c r="B64" s="30"/>
      <c r="N64" s="48" t="str">
        <f>CONCATENATE("Table 52b. College Enrollment Rates in the First Two Years after High School Graduation for Classes ",N66," and ",N67,", School Percentile Distribution")</f>
        <v>Table 52b. College Enrollment Rates in the First Two Years after High School Graduation for Classes 2019 and 2020, School Percentile Distribution</v>
      </c>
      <c r="O64" s="30"/>
      <c r="AA64" s="48" t="str">
        <f>CONCATENATE("Table 52c. College Enrollment Rates in the First Two Years after High School Graduation for Classes ",AA66," and ",AA67,", School Percentile Distribution")</f>
        <v>Table 52c. College Enrollment Rates in the First Two Years after High School Graduation for Classes 2019 and 2020, School Percentile Distribution</v>
      </c>
      <c r="AB64" s="30"/>
    </row>
    <row r="65" spans="1:35" ht="28.8" x14ac:dyDescent="0.3">
      <c r="A65" s="33"/>
      <c r="B65" s="34" t="s">
        <v>358</v>
      </c>
      <c r="C65" s="35" t="s">
        <v>359</v>
      </c>
      <c r="D65" s="35" t="s">
        <v>360</v>
      </c>
      <c r="E65" s="35" t="s">
        <v>361</v>
      </c>
      <c r="N65" s="33"/>
      <c r="O65" s="34" t="s">
        <v>358</v>
      </c>
      <c r="P65" s="35" t="s">
        <v>359</v>
      </c>
      <c r="Q65" s="35" t="s">
        <v>360</v>
      </c>
      <c r="R65" s="35" t="s">
        <v>361</v>
      </c>
      <c r="AA65" s="33"/>
      <c r="AB65" s="34" t="s">
        <v>358</v>
      </c>
      <c r="AC65" s="35" t="s">
        <v>359</v>
      </c>
      <c r="AD65" s="35" t="s">
        <v>360</v>
      </c>
      <c r="AE65" s="35" t="s">
        <v>361</v>
      </c>
    </row>
    <row r="66" spans="1:35" x14ac:dyDescent="0.3">
      <c r="A66" s="36">
        <v>2019</v>
      </c>
      <c r="B66" s="34">
        <v>2144</v>
      </c>
      <c r="C66" s="55">
        <v>0.54403228999999997</v>
      </c>
      <c r="D66" s="55">
        <v>0.68421052599999999</v>
      </c>
      <c r="E66" s="55">
        <v>0.80175861400000004</v>
      </c>
      <c r="N66" s="36">
        <v>2019</v>
      </c>
      <c r="O66" s="34">
        <v>2865</v>
      </c>
      <c r="P66" s="55">
        <v>0.62344139700000001</v>
      </c>
      <c r="Q66" s="55">
        <v>0.73454545500000001</v>
      </c>
      <c r="R66" s="55">
        <v>0.832116788</v>
      </c>
      <c r="AA66" s="36">
        <v>2019</v>
      </c>
      <c r="AB66" s="34">
        <v>4890</v>
      </c>
      <c r="AC66" s="55">
        <v>0.53333333299999997</v>
      </c>
      <c r="AD66" s="55">
        <v>0.63636363600000001</v>
      </c>
      <c r="AE66" s="55">
        <v>0.73076923100000002</v>
      </c>
    </row>
    <row r="67" spans="1:35" x14ac:dyDescent="0.3">
      <c r="A67" s="36">
        <v>2020</v>
      </c>
      <c r="B67" s="34">
        <v>2166</v>
      </c>
      <c r="C67" s="55">
        <v>0.48936170200000001</v>
      </c>
      <c r="D67" s="55">
        <v>0.63072552400000004</v>
      </c>
      <c r="E67" s="55">
        <v>0.77083333300000001</v>
      </c>
      <c r="N67" s="36">
        <v>2020</v>
      </c>
      <c r="O67" s="34">
        <v>2830</v>
      </c>
      <c r="P67" s="55">
        <v>0.58064516099999997</v>
      </c>
      <c r="Q67" s="55">
        <v>0.70290866900000004</v>
      </c>
      <c r="R67" s="55">
        <v>0.81084489299999996</v>
      </c>
      <c r="AA67" s="36">
        <v>2020</v>
      </c>
      <c r="AB67" s="34">
        <v>4876</v>
      </c>
      <c r="AC67" s="55">
        <v>0.5</v>
      </c>
      <c r="AD67" s="55">
        <v>0.59628765900000003</v>
      </c>
      <c r="AE67" s="55">
        <v>0.70370370400000004</v>
      </c>
    </row>
    <row r="68" spans="1:35" x14ac:dyDescent="0.3">
      <c r="B68" s="30"/>
      <c r="O68" s="30"/>
      <c r="AB68" s="30"/>
    </row>
    <row r="69" spans="1:35" x14ac:dyDescent="0.3">
      <c r="A69" s="48" t="str">
        <f>CONCATENATE("Table 53a. College Enrollment Rates in the First Two Years after High School Graduation for Classes ",A71," and ",A72,", Student-Weighted Totals")</f>
        <v>Table 53a. College Enrollment Rates in the First Two Years after High School Graduation for Classes 2019 and 2020, Student-Weighted Totals</v>
      </c>
      <c r="B69" s="30"/>
      <c r="N69" s="48" t="str">
        <f>CONCATENATE("Table 53b. College Enrollment Rates in the First Two Years after High School Graduation for Classes ",N71," and ",N72,", Student-Weighted Totals")</f>
        <v>Table 53b. College Enrollment Rates in the First Two Years after High School Graduation for Classes 2019 and 2020, Student-Weighted Totals</v>
      </c>
      <c r="O69" s="30"/>
      <c r="AA69" s="48" t="str">
        <f>CONCATENATE("Table 53c. College Enrollment Rates in the First Two Years after High School Graduation for Classes ",AA71," and ",AA72,", Student-Weighted Totals")</f>
        <v>Table 53c. College Enrollment Rates in the First Two Years after High School Graduation for Classes 2019 and 2020, Student-Weighted Totals</v>
      </c>
      <c r="AB69" s="30"/>
    </row>
    <row r="70" spans="1:35" ht="28.8" x14ac:dyDescent="0.3">
      <c r="A70" s="33"/>
      <c r="B70" s="34" t="s">
        <v>362</v>
      </c>
      <c r="C70" s="35" t="s">
        <v>363</v>
      </c>
      <c r="D70" s="35" t="s">
        <v>34</v>
      </c>
      <c r="E70" s="35" t="s">
        <v>35</v>
      </c>
      <c r="F70" s="35" t="s">
        <v>364</v>
      </c>
      <c r="G70" s="35" t="s">
        <v>365</v>
      </c>
      <c r="H70" s="35" t="s">
        <v>366</v>
      </c>
      <c r="I70" s="35" t="s">
        <v>367</v>
      </c>
      <c r="N70" s="33"/>
      <c r="O70" s="34" t="s">
        <v>362</v>
      </c>
      <c r="P70" s="35" t="s">
        <v>363</v>
      </c>
      <c r="Q70" s="35" t="s">
        <v>34</v>
      </c>
      <c r="R70" s="35" t="s">
        <v>35</v>
      </c>
      <c r="S70" s="35" t="s">
        <v>364</v>
      </c>
      <c r="T70" s="35" t="s">
        <v>365</v>
      </c>
      <c r="U70" s="35" t="s">
        <v>366</v>
      </c>
      <c r="V70" s="35" t="s">
        <v>367</v>
      </c>
      <c r="AA70" s="33"/>
      <c r="AB70" s="34" t="s">
        <v>362</v>
      </c>
      <c r="AC70" s="35" t="s">
        <v>363</v>
      </c>
      <c r="AD70" s="35" t="s">
        <v>34</v>
      </c>
      <c r="AE70" s="35" t="s">
        <v>35</v>
      </c>
      <c r="AF70" s="35" t="s">
        <v>364</v>
      </c>
      <c r="AG70" s="35" t="s">
        <v>365</v>
      </c>
      <c r="AH70" s="35" t="s">
        <v>366</v>
      </c>
      <c r="AI70" s="35" t="s">
        <v>367</v>
      </c>
    </row>
    <row r="71" spans="1:35" x14ac:dyDescent="0.3">
      <c r="A71" s="36">
        <v>2019</v>
      </c>
      <c r="B71" s="34">
        <v>607680</v>
      </c>
      <c r="C71" s="55">
        <v>0.68726138800000003</v>
      </c>
      <c r="D71" s="55">
        <v>0.58586756200000001</v>
      </c>
      <c r="E71" s="55">
        <v>0.10139382600000001</v>
      </c>
      <c r="F71" s="55">
        <v>0.27616344100000001</v>
      </c>
      <c r="G71" s="55">
        <v>0.411063389</v>
      </c>
      <c r="H71" s="55">
        <v>0.57740258</v>
      </c>
      <c r="I71" s="55">
        <v>0.109858807</v>
      </c>
      <c r="N71" s="36">
        <v>2019</v>
      </c>
      <c r="O71" s="34">
        <v>946843</v>
      </c>
      <c r="P71" s="55">
        <v>0.73487790500000005</v>
      </c>
      <c r="Q71" s="55">
        <v>0.59384818800000005</v>
      </c>
      <c r="R71" s="55">
        <v>0.141029717</v>
      </c>
      <c r="S71" s="55">
        <v>0.249699264</v>
      </c>
      <c r="T71" s="55">
        <v>0.48515223699999999</v>
      </c>
      <c r="U71" s="55">
        <v>0.57976559999999999</v>
      </c>
      <c r="V71" s="55">
        <v>0.15511230500000001</v>
      </c>
      <c r="AA71" s="36">
        <v>2019</v>
      </c>
      <c r="AB71" s="34">
        <v>540198</v>
      </c>
      <c r="AC71" s="55">
        <v>0.64983209900000005</v>
      </c>
      <c r="AD71" s="55">
        <v>0.54139408099999997</v>
      </c>
      <c r="AE71" s="55">
        <v>0.108438017</v>
      </c>
      <c r="AF71" s="55">
        <v>0.26091729299999999</v>
      </c>
      <c r="AG71" s="55">
        <v>0.38890554900000002</v>
      </c>
      <c r="AH71" s="55">
        <v>0.53681242799999995</v>
      </c>
      <c r="AI71" s="55">
        <v>0.113019671</v>
      </c>
    </row>
    <row r="72" spans="1:35" x14ac:dyDescent="0.3">
      <c r="A72" s="36">
        <v>2020</v>
      </c>
      <c r="B72" s="34">
        <v>619465</v>
      </c>
      <c r="C72" s="55">
        <v>0.65224346799999999</v>
      </c>
      <c r="D72" s="55">
        <v>0.55036200599999996</v>
      </c>
      <c r="E72" s="55">
        <v>0.10188146200000001</v>
      </c>
      <c r="F72" s="55">
        <v>0.24905039000000001</v>
      </c>
      <c r="G72" s="55">
        <v>0.40313011999999998</v>
      </c>
      <c r="H72" s="55">
        <v>0.54396454999999999</v>
      </c>
      <c r="I72" s="55">
        <v>0.108278918</v>
      </c>
      <c r="N72" s="36">
        <v>2020</v>
      </c>
      <c r="O72" s="34">
        <v>907699</v>
      </c>
      <c r="P72" s="55">
        <v>0.704221333</v>
      </c>
      <c r="Q72" s="55">
        <v>0.56583404900000001</v>
      </c>
      <c r="R72" s="55">
        <v>0.138387285</v>
      </c>
      <c r="S72" s="55">
        <v>0.23287455400000001</v>
      </c>
      <c r="T72" s="55">
        <v>0.47131152500000001</v>
      </c>
      <c r="U72" s="55">
        <v>0.55146034099999997</v>
      </c>
      <c r="V72" s="55">
        <v>0.15276099200000001</v>
      </c>
      <c r="AA72" s="36">
        <v>2020</v>
      </c>
      <c r="AB72" s="34">
        <v>533939</v>
      </c>
      <c r="AC72" s="55">
        <v>0.61509273499999995</v>
      </c>
      <c r="AD72" s="55">
        <v>0.51181314700000002</v>
      </c>
      <c r="AE72" s="55">
        <v>0.10327958800000001</v>
      </c>
      <c r="AF72" s="55">
        <v>0.24651505100000001</v>
      </c>
      <c r="AG72" s="55">
        <v>0.36856832</v>
      </c>
      <c r="AH72" s="55">
        <v>0.50648669599999996</v>
      </c>
      <c r="AI72" s="55">
        <v>0.108606039</v>
      </c>
    </row>
    <row r="73" spans="1:35" x14ac:dyDescent="0.3">
      <c r="B73" s="30"/>
      <c r="O73" s="30"/>
      <c r="AB73" s="30"/>
    </row>
    <row r="74" spans="1:35" x14ac:dyDescent="0.3">
      <c r="A74" s="24" t="str">
        <f>CONCATENATE("Figure ", RIGHT(A69,LEN(A69)-6))</f>
        <v>Figure 53a. College Enrollment Rates in the First Two Years after High School Graduation for Classes 2019 and 2020, Student-Weighted Totals</v>
      </c>
      <c r="B74" s="30"/>
      <c r="N74" s="24" t="str">
        <f>CONCATENATE("Figure ", RIGHT(N69,LEN(N69)-6))</f>
        <v>Figure 53b. College Enrollment Rates in the First Two Years after High School Graduation for Classes 2019 and 2020, Student-Weighted Totals</v>
      </c>
      <c r="O74" s="30"/>
      <c r="AA74" s="24" t="str">
        <f>CONCATENATE("Figure ", RIGHT(AA69,LEN(AA69)-6))</f>
        <v>Figure 53c. College Enrollment Rates in the First Two Years after High School Graduation for Classes 2019 and 2020, Student-Weighted Totals</v>
      </c>
      <c r="AB74" s="30"/>
    </row>
    <row r="75" spans="1:35" x14ac:dyDescent="0.3">
      <c r="B75" s="30"/>
      <c r="O75" s="30"/>
      <c r="AB75" s="30"/>
    </row>
    <row r="76" spans="1:35" x14ac:dyDescent="0.3">
      <c r="B76" s="30"/>
      <c r="O76" s="30"/>
      <c r="AB76" s="30"/>
    </row>
    <row r="77" spans="1:35" x14ac:dyDescent="0.3">
      <c r="B77" s="30"/>
      <c r="O77" s="30"/>
      <c r="AB77" s="30"/>
    </row>
    <row r="78" spans="1:35" x14ac:dyDescent="0.3">
      <c r="B78" s="30"/>
      <c r="O78" s="30"/>
      <c r="AB78" s="30"/>
    </row>
    <row r="79" spans="1:35" x14ac:dyDescent="0.3">
      <c r="B79" s="30"/>
      <c r="O79" s="30"/>
      <c r="AB79" s="30"/>
    </row>
    <row r="80" spans="1:35" x14ac:dyDescent="0.3">
      <c r="B80" s="30"/>
      <c r="O80" s="30"/>
      <c r="AB80" s="30"/>
    </row>
    <row r="81" spans="1:31" x14ac:dyDescent="0.3">
      <c r="B81" s="30"/>
      <c r="O81" s="30"/>
      <c r="AB81" s="30"/>
    </row>
    <row r="82" spans="1:31" x14ac:dyDescent="0.3">
      <c r="B82" s="30"/>
      <c r="O82" s="30"/>
      <c r="AB82" s="30"/>
    </row>
    <row r="83" spans="1:31" x14ac:dyDescent="0.3">
      <c r="B83" s="30"/>
      <c r="O83" s="30"/>
      <c r="AB83" s="30"/>
    </row>
    <row r="84" spans="1:31" x14ac:dyDescent="0.3">
      <c r="B84" s="30"/>
      <c r="O84" s="30"/>
      <c r="AB84" s="30"/>
    </row>
    <row r="85" spans="1:31" x14ac:dyDescent="0.3">
      <c r="B85" s="30"/>
      <c r="O85" s="30"/>
      <c r="AB85" s="30"/>
    </row>
    <row r="86" spans="1:31" x14ac:dyDescent="0.3">
      <c r="B86" s="30"/>
      <c r="O86" s="30"/>
      <c r="AB86" s="30"/>
    </row>
    <row r="87" spans="1:31" x14ac:dyDescent="0.3">
      <c r="B87" s="30"/>
      <c r="O87" s="30"/>
      <c r="AB87" s="30"/>
    </row>
    <row r="88" spans="1:31" x14ac:dyDescent="0.3">
      <c r="B88" s="30"/>
      <c r="O88" s="30"/>
      <c r="AB88" s="30"/>
    </row>
    <row r="89" spans="1:31" x14ac:dyDescent="0.3">
      <c r="B89" s="30"/>
      <c r="O89" s="30"/>
      <c r="AB89" s="30"/>
    </row>
    <row r="90" spans="1:31" x14ac:dyDescent="0.3">
      <c r="B90" s="30"/>
      <c r="O90" s="30"/>
      <c r="AB90" s="30"/>
    </row>
    <row r="91" spans="1:31" x14ac:dyDescent="0.3">
      <c r="B91" s="30"/>
      <c r="O91" s="30"/>
      <c r="AB91" s="30"/>
    </row>
    <row r="92" spans="1:31" x14ac:dyDescent="0.3">
      <c r="B92" s="30"/>
      <c r="O92" s="30"/>
      <c r="AB92" s="30"/>
    </row>
    <row r="93" spans="1:31" x14ac:dyDescent="0.3">
      <c r="B93" s="30"/>
      <c r="O93" s="30"/>
      <c r="AB93" s="30"/>
    </row>
    <row r="94" spans="1:31" x14ac:dyDescent="0.3">
      <c r="A94" s="48" t="str">
        <f>CONCATENATE("Table 54a. Persistence Rates from First to Second Year of College for Class of ",A96,", School Percentile Distribution")</f>
        <v>Table 54a. Persistence Rates from First to Second Year of College for Class of 2020, School Percentile Distribution</v>
      </c>
      <c r="B94" s="30"/>
      <c r="N94" s="48" t="str">
        <f>CONCATENATE("Table 54b. Persistence Rates from First to Second Year of College for Class of ",N96,", School Percentile Distribution")</f>
        <v>Table 54b. Persistence Rates from First to Second Year of College for Class of 2020, School Percentile Distribution</v>
      </c>
      <c r="O94" s="30"/>
      <c r="AA94" s="48" t="str">
        <f>CONCATENATE("Table 54c. Persistence Rates from First to Second Year of College for Class of ",AA96,", School Percentile Distribution")</f>
        <v>Table 54c. Persistence Rates from First to Second Year of College for Class of 2020, School Percentile Distribution</v>
      </c>
      <c r="AB94" s="30"/>
    </row>
    <row r="95" spans="1:31" ht="28.8" x14ac:dyDescent="0.3">
      <c r="A95" s="33"/>
      <c r="B95" s="34" t="s">
        <v>358</v>
      </c>
      <c r="C95" s="35" t="s">
        <v>359</v>
      </c>
      <c r="D95" s="35" t="s">
        <v>360</v>
      </c>
      <c r="E95" s="35" t="s">
        <v>361</v>
      </c>
      <c r="N95" s="33"/>
      <c r="O95" s="34" t="s">
        <v>358</v>
      </c>
      <c r="P95" s="35" t="s">
        <v>359</v>
      </c>
      <c r="Q95" s="35" t="s">
        <v>360</v>
      </c>
      <c r="R95" s="35" t="s">
        <v>361</v>
      </c>
      <c r="AA95" s="33"/>
      <c r="AB95" s="34" t="s">
        <v>358</v>
      </c>
      <c r="AC95" s="35" t="s">
        <v>359</v>
      </c>
      <c r="AD95" s="35" t="s">
        <v>360</v>
      </c>
      <c r="AE95" s="35" t="s">
        <v>361</v>
      </c>
    </row>
    <row r="96" spans="1:31" x14ac:dyDescent="0.3">
      <c r="A96" s="36">
        <v>2020</v>
      </c>
      <c r="B96" s="46">
        <v>2166</v>
      </c>
      <c r="C96" s="56">
        <v>0.67368421099999998</v>
      </c>
      <c r="D96" s="56">
        <v>0.77319587599999995</v>
      </c>
      <c r="E96" s="56">
        <v>0.85145482400000005</v>
      </c>
      <c r="N96" s="36">
        <v>2020</v>
      </c>
      <c r="O96" s="46">
        <v>2830</v>
      </c>
      <c r="P96" s="56">
        <v>0.77027027000000003</v>
      </c>
      <c r="Q96" s="56">
        <v>0.84375</v>
      </c>
      <c r="R96" s="56">
        <v>0.90114068400000003</v>
      </c>
      <c r="AA96" s="36">
        <v>2020</v>
      </c>
      <c r="AB96" s="46">
        <v>4876</v>
      </c>
      <c r="AC96" s="56">
        <v>0.70370370400000004</v>
      </c>
      <c r="AD96" s="56">
        <v>0.78205128199999996</v>
      </c>
      <c r="AE96" s="56">
        <v>0.84883720900000004</v>
      </c>
    </row>
    <row r="97" spans="1:35" x14ac:dyDescent="0.3">
      <c r="B97" s="30"/>
      <c r="O97" s="30"/>
      <c r="AB97" s="30"/>
    </row>
    <row r="98" spans="1:35" x14ac:dyDescent="0.3">
      <c r="A98" s="48" t="str">
        <f>CONCATENATE("Table 55a. Persistence Rates from First to Second Year of College for Class of ",A100,", Student-Weighted Totals")</f>
        <v>Table 55a. Persistence Rates from First to Second Year of College for Class of 2020, Student-Weighted Totals</v>
      </c>
      <c r="B98" s="30"/>
      <c r="N98" s="48" t="str">
        <f>CONCATENATE("Table 55b. Persistence Rates from First to Second Year of College for Class of ",N100,", Student-Weighted Totals")</f>
        <v>Table 55b. Persistence Rates from First to Second Year of College for Class of 2020, Student-Weighted Totals</v>
      </c>
      <c r="O98" s="30"/>
      <c r="AA98" s="48" t="str">
        <f>CONCATENATE("Table 55c. Persistence Rates from First to Second Year of College for Class of ",AA100,", Student-Weighted Totals")</f>
        <v>Table 55c. Persistence Rates from First to Second Year of College for Class of 2020, Student-Weighted Totals</v>
      </c>
      <c r="AB98" s="30"/>
    </row>
    <row r="99" spans="1:35" ht="57.6" customHeight="1" x14ac:dyDescent="0.3">
      <c r="A99" s="33"/>
      <c r="B99" s="34" t="s">
        <v>368</v>
      </c>
      <c r="C99" s="35" t="s">
        <v>363</v>
      </c>
      <c r="D99" s="35" t="s">
        <v>34</v>
      </c>
      <c r="E99" s="35" t="s">
        <v>35</v>
      </c>
      <c r="F99" s="35" t="s">
        <v>364</v>
      </c>
      <c r="G99" s="35" t="s">
        <v>365</v>
      </c>
      <c r="H99" s="35" t="s">
        <v>366</v>
      </c>
      <c r="I99" s="35" t="s">
        <v>367</v>
      </c>
      <c r="N99" s="33"/>
      <c r="O99" s="34" t="s">
        <v>368</v>
      </c>
      <c r="P99" s="35" t="s">
        <v>363</v>
      </c>
      <c r="Q99" s="35" t="s">
        <v>34</v>
      </c>
      <c r="R99" s="35" t="s">
        <v>35</v>
      </c>
      <c r="S99" s="35" t="s">
        <v>364</v>
      </c>
      <c r="T99" s="35" t="s">
        <v>365</v>
      </c>
      <c r="U99" s="35" t="s">
        <v>366</v>
      </c>
      <c r="V99" s="35" t="s">
        <v>367</v>
      </c>
      <c r="AA99" s="33"/>
      <c r="AB99" s="34" t="s">
        <v>368</v>
      </c>
      <c r="AC99" s="35" t="s">
        <v>363</v>
      </c>
      <c r="AD99" s="35" t="s">
        <v>34</v>
      </c>
      <c r="AE99" s="35" t="s">
        <v>35</v>
      </c>
      <c r="AF99" s="35" t="s">
        <v>364</v>
      </c>
      <c r="AG99" s="35" t="s">
        <v>365</v>
      </c>
      <c r="AH99" s="35" t="s">
        <v>366</v>
      </c>
      <c r="AI99" s="35" t="s">
        <v>367</v>
      </c>
    </row>
    <row r="100" spans="1:35" x14ac:dyDescent="0.3">
      <c r="A100" s="36">
        <v>2020</v>
      </c>
      <c r="B100" s="34">
        <v>379281</v>
      </c>
      <c r="C100" s="55">
        <v>0.80824771100000004</v>
      </c>
      <c r="D100" s="55">
        <v>0.79886873199999997</v>
      </c>
      <c r="E100" s="55">
        <v>0.85887055999999995</v>
      </c>
      <c r="F100" s="55">
        <v>0.68819428900000001</v>
      </c>
      <c r="G100" s="55">
        <v>0.877530743</v>
      </c>
      <c r="H100" s="55">
        <v>0.79435010100000003</v>
      </c>
      <c r="I100" s="55">
        <v>0.87960985999999997</v>
      </c>
      <c r="N100" s="36">
        <v>2020</v>
      </c>
      <c r="O100" s="34">
        <v>604469</v>
      </c>
      <c r="P100" s="55">
        <v>0.85247216999999997</v>
      </c>
      <c r="Q100" s="55">
        <v>0.83863633500000001</v>
      </c>
      <c r="R100" s="55">
        <v>0.90820613100000003</v>
      </c>
      <c r="S100" s="55">
        <v>0.72546094400000005</v>
      </c>
      <c r="T100" s="55">
        <v>0.91088147699999999</v>
      </c>
      <c r="U100" s="55">
        <v>0.83433676400000001</v>
      </c>
      <c r="V100" s="55">
        <v>0.91795900600000002</v>
      </c>
      <c r="AA100" s="36">
        <v>2020</v>
      </c>
      <c r="AB100" s="34">
        <v>308593</v>
      </c>
      <c r="AC100" s="55">
        <v>0.79638229000000005</v>
      </c>
      <c r="AD100" s="55">
        <v>0.78134251799999999</v>
      </c>
      <c r="AE100" s="55">
        <v>0.87021292900000002</v>
      </c>
      <c r="AF100" s="55">
        <v>0.67289375100000004</v>
      </c>
      <c r="AG100" s="55">
        <v>0.87429447199999999</v>
      </c>
      <c r="AH100" s="55">
        <v>0.78271267099999997</v>
      </c>
      <c r="AI100" s="55">
        <v>0.861536737</v>
      </c>
    </row>
    <row r="101" spans="1:35" x14ac:dyDescent="0.3">
      <c r="B101" s="30"/>
      <c r="O101" s="30"/>
      <c r="AB101" s="30"/>
    </row>
    <row r="102" spans="1:35" x14ac:dyDescent="0.3">
      <c r="A102" s="24" t="str">
        <f>CONCATENATE("Figure ", RIGHT(A98,LEN(A98)-6))</f>
        <v>Figure 55a. Persistence Rates from First to Second Year of College for Class of 2020, Student-Weighted Totals</v>
      </c>
      <c r="B102" s="30"/>
      <c r="N102" s="24" t="str">
        <f>CONCATENATE("Figure ", RIGHT(N98,LEN(N98)-6))</f>
        <v>Figure 55b. Persistence Rates from First to Second Year of College for Class of 2020, Student-Weighted Totals</v>
      </c>
      <c r="O102" s="30"/>
      <c r="AA102" s="24" t="str">
        <f>CONCATENATE("Figure ", RIGHT(AA98,LEN(AA98)-6))</f>
        <v>Figure 55c. Persistence Rates from First to Second Year of College for Class of 2020, Student-Weighted Totals</v>
      </c>
      <c r="AB102" s="30"/>
    </row>
    <row r="103" spans="1:35" x14ac:dyDescent="0.3">
      <c r="B103" s="30"/>
      <c r="O103" s="30"/>
      <c r="AB103" s="30"/>
    </row>
    <row r="104" spans="1:35" x14ac:dyDescent="0.3">
      <c r="B104" s="30"/>
      <c r="O104" s="30"/>
      <c r="AB104" s="30"/>
    </row>
    <row r="105" spans="1:35" x14ac:dyDescent="0.3">
      <c r="B105" s="30"/>
      <c r="O105" s="30"/>
      <c r="AB105" s="30"/>
    </row>
    <row r="106" spans="1:35" x14ac:dyDescent="0.3">
      <c r="B106" s="30"/>
      <c r="O106" s="30"/>
      <c r="AB106" s="30"/>
    </row>
    <row r="107" spans="1:35" x14ac:dyDescent="0.3">
      <c r="B107" s="30"/>
      <c r="O107" s="30"/>
      <c r="AB107" s="30"/>
    </row>
    <row r="108" spans="1:35" x14ac:dyDescent="0.3">
      <c r="B108" s="30"/>
      <c r="O108" s="30"/>
      <c r="AB108" s="30"/>
    </row>
    <row r="109" spans="1:35" x14ac:dyDescent="0.3">
      <c r="B109" s="30"/>
      <c r="O109" s="30"/>
      <c r="AB109" s="30"/>
    </row>
    <row r="110" spans="1:35" x14ac:dyDescent="0.3">
      <c r="B110" s="30"/>
      <c r="O110" s="30"/>
      <c r="AB110" s="30"/>
    </row>
    <row r="111" spans="1:35" x14ac:dyDescent="0.3">
      <c r="B111" s="30"/>
      <c r="O111" s="30"/>
      <c r="AB111" s="30"/>
    </row>
    <row r="112" spans="1:35" x14ac:dyDescent="0.3">
      <c r="B112" s="30"/>
      <c r="O112" s="30"/>
      <c r="AB112" s="30"/>
    </row>
    <row r="113" spans="1:35" x14ac:dyDescent="0.3">
      <c r="B113" s="30"/>
      <c r="O113" s="30"/>
      <c r="AB113" s="30"/>
    </row>
    <row r="114" spans="1:35" x14ac:dyDescent="0.3">
      <c r="B114" s="30"/>
      <c r="O114" s="30"/>
      <c r="AB114" s="30"/>
    </row>
    <row r="115" spans="1:35" x14ac:dyDescent="0.3">
      <c r="B115" s="30"/>
      <c r="O115" s="30"/>
      <c r="AB115" s="30"/>
    </row>
    <row r="116" spans="1:35" x14ac:dyDescent="0.3">
      <c r="B116" s="30"/>
      <c r="O116" s="30"/>
      <c r="AB116" s="30"/>
    </row>
    <row r="117" spans="1:35" x14ac:dyDescent="0.3">
      <c r="B117" s="30"/>
      <c r="O117" s="30"/>
      <c r="AB117" s="30"/>
    </row>
    <row r="118" spans="1:35" x14ac:dyDescent="0.3">
      <c r="B118" s="30"/>
      <c r="O118" s="30"/>
      <c r="AB118" s="30"/>
    </row>
    <row r="119" spans="1:35" x14ac:dyDescent="0.3">
      <c r="B119" s="30"/>
      <c r="O119" s="30"/>
      <c r="AB119" s="30"/>
    </row>
    <row r="120" spans="1:35" x14ac:dyDescent="0.3">
      <c r="B120" s="30"/>
      <c r="O120" s="30"/>
      <c r="AB120" s="30"/>
    </row>
    <row r="121" spans="1:35" x14ac:dyDescent="0.3">
      <c r="B121" s="30"/>
      <c r="O121" s="30"/>
      <c r="AB121" s="30"/>
    </row>
    <row r="122" spans="1:35" x14ac:dyDescent="0.3">
      <c r="A122" s="48" t="str">
        <f>CONCATENATE("Table 56a. Six-Year Completion Rates for Class of ",A124,", School Percentile Distribution")</f>
        <v>Table 56a. Six-Year Completion Rates for Class of 2016, School Percentile Distribution</v>
      </c>
      <c r="B122" s="30"/>
      <c r="N122" s="48" t="str">
        <f>CONCATENATE("Table 56b. Six-Year Completion Rates for Class of ",N124,", School Percentile Distribution")</f>
        <v>Table 56b. Six-Year Completion Rates for Class of 2016, School Percentile Distribution</v>
      </c>
      <c r="O122" s="30"/>
      <c r="AA122" s="48" t="str">
        <f>CONCATENATE("Table 56c. Six-Year Completion Rates for Class of ",AA124,", School Percentile Distribution")</f>
        <v>Table 56c. Six-Year Completion Rates for Class of 2016, School Percentile Distribution</v>
      </c>
      <c r="AB122" s="30"/>
    </row>
    <row r="123" spans="1:35" ht="28.8" x14ac:dyDescent="0.3">
      <c r="A123" s="33"/>
      <c r="B123" s="34" t="s">
        <v>358</v>
      </c>
      <c r="C123" s="35" t="s">
        <v>359</v>
      </c>
      <c r="D123" s="35" t="s">
        <v>360</v>
      </c>
      <c r="E123" s="35" t="s">
        <v>361</v>
      </c>
      <c r="N123" s="33"/>
      <c r="O123" s="34" t="s">
        <v>358</v>
      </c>
      <c r="P123" s="35" t="s">
        <v>359</v>
      </c>
      <c r="Q123" s="35" t="s">
        <v>360</v>
      </c>
      <c r="R123" s="35" t="s">
        <v>361</v>
      </c>
      <c r="AA123" s="33"/>
      <c r="AB123" s="34" t="s">
        <v>358</v>
      </c>
      <c r="AC123" s="35" t="s">
        <v>359</v>
      </c>
      <c r="AD123" s="35" t="s">
        <v>360</v>
      </c>
      <c r="AE123" s="35" t="s">
        <v>361</v>
      </c>
    </row>
    <row r="124" spans="1:35" x14ac:dyDescent="0.3">
      <c r="A124" s="36">
        <v>2016</v>
      </c>
      <c r="B124" s="46">
        <v>2018</v>
      </c>
      <c r="C124" s="56">
        <v>0.18840579700000001</v>
      </c>
      <c r="D124" s="56">
        <v>0.31518949499999999</v>
      </c>
      <c r="E124" s="56">
        <v>0.46226415100000001</v>
      </c>
      <c r="N124" s="36">
        <v>2016</v>
      </c>
      <c r="O124" s="46">
        <v>2685</v>
      </c>
      <c r="P124" s="56">
        <v>0.31269349800000001</v>
      </c>
      <c r="Q124" s="56">
        <v>0.45337159300000002</v>
      </c>
      <c r="R124" s="56">
        <v>0.59788359800000002</v>
      </c>
      <c r="AA124" s="36">
        <v>2016</v>
      </c>
      <c r="AB124" s="46">
        <v>4708</v>
      </c>
      <c r="AC124" s="56">
        <v>0.28571428599999998</v>
      </c>
      <c r="AD124" s="56">
        <v>0.38694461400000002</v>
      </c>
      <c r="AE124" s="56">
        <v>0.5</v>
      </c>
    </row>
    <row r="125" spans="1:35" x14ac:dyDescent="0.3">
      <c r="B125" s="30"/>
      <c r="O125" s="30"/>
      <c r="AB125" s="30"/>
    </row>
    <row r="126" spans="1:35" x14ac:dyDescent="0.3">
      <c r="A126" s="48" t="str">
        <f>CONCATENATE("Table 57a. Six-Year Completion Rates for Class of ",A128, ", Student-Weighted Totals")</f>
        <v>Table 57a. Six-Year Completion Rates for Class of 2016, Student-Weighted Totals</v>
      </c>
      <c r="B126" s="30"/>
      <c r="N126" s="48" t="str">
        <f>CONCATENATE("Table 57b. Six-Year Completion Rates for Class of ",N128, ", Student-Weighted Totals")</f>
        <v>Table 57b. Six-Year Completion Rates for Class of 2016, Student-Weighted Totals</v>
      </c>
      <c r="O126" s="30"/>
      <c r="AA126" s="48" t="str">
        <f>CONCATENATE("Table 57c. Six-Year Completion Rates for Class of ",AA128, ", Student-Weighted Totals")</f>
        <v>Table 57c. Six-Year Completion Rates for Class of 2016, Student-Weighted Totals</v>
      </c>
      <c r="AB126" s="30"/>
    </row>
    <row r="127" spans="1:35" ht="28.8" x14ac:dyDescent="0.3">
      <c r="A127" s="33"/>
      <c r="B127" s="34" t="s">
        <v>362</v>
      </c>
      <c r="C127" s="35" t="s">
        <v>363</v>
      </c>
      <c r="D127" s="35" t="s">
        <v>34</v>
      </c>
      <c r="E127" s="35" t="s">
        <v>35</v>
      </c>
      <c r="F127" s="35" t="s">
        <v>364</v>
      </c>
      <c r="G127" s="35" t="s">
        <v>365</v>
      </c>
      <c r="H127" s="35" t="s">
        <v>366</v>
      </c>
      <c r="I127" s="35" t="s">
        <v>367</v>
      </c>
      <c r="N127" s="33"/>
      <c r="O127" s="34" t="s">
        <v>362</v>
      </c>
      <c r="P127" s="35" t="s">
        <v>363</v>
      </c>
      <c r="Q127" s="35" t="s">
        <v>34</v>
      </c>
      <c r="R127" s="35" t="s">
        <v>35</v>
      </c>
      <c r="S127" s="35" t="s">
        <v>364</v>
      </c>
      <c r="T127" s="35" t="s">
        <v>365</v>
      </c>
      <c r="U127" s="35" t="s">
        <v>366</v>
      </c>
      <c r="V127" s="35" t="s">
        <v>367</v>
      </c>
      <c r="AA127" s="33"/>
      <c r="AB127" s="34" t="s">
        <v>362</v>
      </c>
      <c r="AC127" s="35" t="s">
        <v>363</v>
      </c>
      <c r="AD127" s="35" t="s">
        <v>34</v>
      </c>
      <c r="AE127" s="35" t="s">
        <v>35</v>
      </c>
      <c r="AF127" s="35" t="s">
        <v>364</v>
      </c>
      <c r="AG127" s="35" t="s">
        <v>365</v>
      </c>
      <c r="AH127" s="35" t="s">
        <v>366</v>
      </c>
      <c r="AI127" s="35" t="s">
        <v>367</v>
      </c>
    </row>
    <row r="128" spans="1:35" x14ac:dyDescent="0.3">
      <c r="A128" s="36">
        <v>2016</v>
      </c>
      <c r="B128" s="34">
        <v>539938</v>
      </c>
      <c r="C128" s="55">
        <v>0.377587797</v>
      </c>
      <c r="D128" s="55">
        <v>0.30143090500000003</v>
      </c>
      <c r="E128" s="55">
        <v>7.6156892000000004E-2</v>
      </c>
      <c r="F128" s="55">
        <v>8.1300074999999999E-2</v>
      </c>
      <c r="G128" s="55">
        <v>0.29613770499999997</v>
      </c>
      <c r="H128" s="55">
        <v>0.299119529</v>
      </c>
      <c r="I128" s="55">
        <v>7.8468268999999993E-2</v>
      </c>
      <c r="N128" s="36">
        <v>2016</v>
      </c>
      <c r="O128" s="34">
        <v>854966</v>
      </c>
      <c r="P128" s="55">
        <v>0.474947542</v>
      </c>
      <c r="Q128" s="55">
        <v>0.35547261499999999</v>
      </c>
      <c r="R128" s="55">
        <v>0.119474926</v>
      </c>
      <c r="S128" s="55">
        <v>8.5850198000000003E-2</v>
      </c>
      <c r="T128" s="55">
        <v>0.38893008600000001</v>
      </c>
      <c r="U128" s="55">
        <v>0.34828285599999997</v>
      </c>
      <c r="V128" s="55">
        <v>0.126664686</v>
      </c>
      <c r="AA128" s="36">
        <v>2016</v>
      </c>
      <c r="AB128" s="34">
        <v>496872</v>
      </c>
      <c r="AC128" s="55">
        <v>0.404589109</v>
      </c>
      <c r="AD128" s="55">
        <v>0.31989929</v>
      </c>
      <c r="AE128" s="55">
        <v>8.4689819999999999E-2</v>
      </c>
      <c r="AF128" s="55">
        <v>0.112582315</v>
      </c>
      <c r="AG128" s="55">
        <v>0.29195044199999998</v>
      </c>
      <c r="AH128" s="55">
        <v>0.32141275800000002</v>
      </c>
      <c r="AI128" s="55">
        <v>8.3176350999999996E-2</v>
      </c>
    </row>
    <row r="129" spans="1:28" x14ac:dyDescent="0.3">
      <c r="B129" s="30"/>
      <c r="O129" s="30"/>
      <c r="AB129" s="30"/>
    </row>
    <row r="130" spans="1:28" x14ac:dyDescent="0.3">
      <c r="A130" s="24" t="str">
        <f>CONCATENATE("Figure ", RIGHT(A126,LEN(A126)-6))</f>
        <v>Figure 57a. Six-Year Completion Rates for Class of 2016, Student-Weighted Totals</v>
      </c>
      <c r="B130" s="30"/>
      <c r="N130" s="24" t="str">
        <f>CONCATENATE("Figure ", RIGHT(N126,LEN(N126)-6))</f>
        <v>Figure 57b. Six-Year Completion Rates for Class of 2016, Student-Weighted Totals</v>
      </c>
      <c r="O130" s="30"/>
      <c r="AA130" s="24" t="str">
        <f>CONCATENATE("Figure ", RIGHT(AA126,LEN(AA126)-6))</f>
        <v>Figure 57c. Six-Year Completion Rates for Class of 2016, Student-Weighted Totals</v>
      </c>
      <c r="AB130" s="30"/>
    </row>
    <row r="131" spans="1:28" x14ac:dyDescent="0.3">
      <c r="B131" s="30"/>
      <c r="O131" s="30"/>
      <c r="AB131" s="30"/>
    </row>
    <row r="132" spans="1:28" x14ac:dyDescent="0.3">
      <c r="B132" s="30"/>
      <c r="O132" s="30"/>
      <c r="AB132" s="30"/>
    </row>
    <row r="133" spans="1:28" x14ac:dyDescent="0.3">
      <c r="B133" s="30"/>
      <c r="O133" s="30"/>
      <c r="AB133" s="30"/>
    </row>
    <row r="134" spans="1:28" x14ac:dyDescent="0.3">
      <c r="B134" s="30"/>
      <c r="O134" s="30"/>
      <c r="AB134" s="30"/>
    </row>
    <row r="135" spans="1:28" x14ac:dyDescent="0.3">
      <c r="B135" s="30"/>
      <c r="O135" s="30"/>
      <c r="AB135" s="30"/>
    </row>
    <row r="136" spans="1:28" x14ac:dyDescent="0.3">
      <c r="B136" s="30"/>
      <c r="O136" s="30"/>
      <c r="AB136" s="30"/>
    </row>
    <row r="137" spans="1:28" x14ac:dyDescent="0.3">
      <c r="B137" s="30"/>
      <c r="O137" s="30"/>
      <c r="AB137" s="30"/>
    </row>
    <row r="138" spans="1:28" x14ac:dyDescent="0.3">
      <c r="B138" s="30"/>
      <c r="O138" s="30"/>
      <c r="AB138" s="30"/>
    </row>
    <row r="139" spans="1:28" x14ac:dyDescent="0.3">
      <c r="B139" s="30"/>
      <c r="O139" s="30"/>
      <c r="AB139" s="30"/>
    </row>
    <row r="140" spans="1:28" x14ac:dyDescent="0.3">
      <c r="B140" s="30"/>
      <c r="O140" s="30"/>
      <c r="AB140" s="30"/>
    </row>
    <row r="141" spans="1:28" x14ac:dyDescent="0.3">
      <c r="B141" s="30"/>
      <c r="O141" s="30"/>
      <c r="AB141" s="30"/>
    </row>
    <row r="142" spans="1:28" x14ac:dyDescent="0.3">
      <c r="B142" s="30"/>
      <c r="O142" s="30"/>
      <c r="AB142" s="30"/>
    </row>
    <row r="143" spans="1:28" x14ac:dyDescent="0.3">
      <c r="B143" s="30"/>
      <c r="O143" s="30"/>
      <c r="AB143" s="30"/>
    </row>
    <row r="144" spans="1:28" x14ac:dyDescent="0.3">
      <c r="B144" s="30"/>
      <c r="O144" s="30"/>
      <c r="AB144" s="30"/>
    </row>
    <row r="145" spans="2:28" x14ac:dyDescent="0.3">
      <c r="B145" s="30"/>
      <c r="O145" s="30"/>
      <c r="AB145" s="30"/>
    </row>
    <row r="146" spans="2:28" x14ac:dyDescent="0.3">
      <c r="B146" s="30"/>
      <c r="O146" s="30"/>
      <c r="AB146" s="30"/>
    </row>
    <row r="147" spans="2:28" x14ac:dyDescent="0.3">
      <c r="B147" s="30"/>
      <c r="O147" s="30"/>
      <c r="AB147" s="30"/>
    </row>
    <row r="148" spans="2:28" x14ac:dyDescent="0.3">
      <c r="B148" s="30"/>
      <c r="O148" s="30"/>
      <c r="AB148" s="30"/>
    </row>
  </sheetData>
  <mergeCells count="3">
    <mergeCell ref="A2:L2"/>
    <mergeCell ref="N2:Y2"/>
    <mergeCell ref="AA2:AL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7C004-A922-4473-8BB7-29491F8C90A9}">
  <dimension ref="A1:AD151"/>
  <sheetViews>
    <sheetView zoomScale="80" zoomScaleNormal="80" workbookViewId="0">
      <pane ySplit="1" topLeftCell="A2" activePane="bottomLeft" state="frozen"/>
      <selection activeCell="A61" sqref="A61:A62"/>
      <selection pane="bottomLeft"/>
    </sheetView>
  </sheetViews>
  <sheetFormatPr defaultRowHeight="14.4" x14ac:dyDescent="0.3"/>
  <cols>
    <col min="1" max="1" width="8.88671875" customWidth="1"/>
    <col min="2" max="2" width="10.6640625" style="30" customWidth="1"/>
    <col min="3" max="9" width="10.6640625" customWidth="1"/>
    <col min="13" max="23" width="9.33203125" style="50" customWidth="1"/>
    <col min="24" max="27" width="8.88671875" style="50"/>
    <col min="28" max="29" width="8.88671875" style="64"/>
  </cols>
  <sheetData>
    <row r="1" spans="1:30" ht="28.8" x14ac:dyDescent="0.3">
      <c r="A1" s="87" t="s">
        <v>375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0" t="s">
        <v>376</v>
      </c>
      <c r="V1" s="50" t="s">
        <v>377</v>
      </c>
      <c r="W1" s="50" t="s">
        <v>378</v>
      </c>
      <c r="X1" s="50" t="s">
        <v>379</v>
      </c>
      <c r="Y1" s="50" t="s">
        <v>380</v>
      </c>
      <c r="Z1" s="50" t="s">
        <v>381</v>
      </c>
      <c r="AA1" s="50" t="s">
        <v>382</v>
      </c>
      <c r="AD1" s="50"/>
    </row>
    <row r="2" spans="1:30" x14ac:dyDescent="0.3">
      <c r="A2" s="68"/>
      <c r="M2" s="28"/>
      <c r="AD2" s="50"/>
    </row>
    <row r="3" spans="1:30" x14ac:dyDescent="0.3">
      <c r="A3" s="24" t="str">
        <f>CONCATENATE("Table 58. College Enrollment Rates in the First Fall after High School Graduation for Classes ",A5," and ",A6,", School Percentile Distribution")</f>
        <v>Table 58. College Enrollment Rates in the First Fall after High School Graduation for Classes 2021 and 2022, School Percentile Distribution</v>
      </c>
      <c r="N3" s="50">
        <f>1+5*($M$1-1)</f>
        <v>-4</v>
      </c>
    </row>
    <row r="4" spans="1:30" ht="28.8" x14ac:dyDescent="0.3">
      <c r="A4" s="33"/>
      <c r="B4" s="91" t="s">
        <v>358</v>
      </c>
      <c r="C4" s="92" t="s">
        <v>359</v>
      </c>
      <c r="D4" s="92" t="s">
        <v>360</v>
      </c>
      <c r="E4" s="92" t="s">
        <v>361</v>
      </c>
    </row>
    <row r="5" spans="1:30" x14ac:dyDescent="0.3">
      <c r="A5" s="36">
        <v>2021</v>
      </c>
      <c r="B5" s="34">
        <v>1334</v>
      </c>
      <c r="C5" s="55">
        <v>0.25</v>
      </c>
      <c r="D5" s="55">
        <v>0.47</v>
      </c>
      <c r="E5" s="55">
        <v>0.66700000000000004</v>
      </c>
      <c r="G5" s="31"/>
      <c r="I5" s="31"/>
      <c r="J5" s="49"/>
      <c r="K5" s="49"/>
      <c r="N5" s="50">
        <f>3+8*($M$1-1)</f>
        <v>-5</v>
      </c>
    </row>
    <row r="6" spans="1:30" x14ac:dyDescent="0.3">
      <c r="A6" s="36">
        <v>2022</v>
      </c>
      <c r="B6" s="34">
        <v>1011</v>
      </c>
      <c r="C6" s="55">
        <v>0.23499999999999999</v>
      </c>
      <c r="D6" s="55">
        <v>0.48399999999999999</v>
      </c>
      <c r="E6" s="55">
        <v>0.68300000000000005</v>
      </c>
      <c r="N6" s="50">
        <f>2+8*($M$1-1)</f>
        <v>-6</v>
      </c>
    </row>
    <row r="8" spans="1:30" x14ac:dyDescent="0.3">
      <c r="A8" s="24" t="str">
        <f>CONCATENATE("Table 59. College Enrollment Rates in the First Fall after High School Graduation for Classes ",A10," and ",A11,", Student-Weighted Totals")</f>
        <v>Table 59. College Enrollment Rates in the First Fall after High School Graduation for Classes 2021 and 2022, Student-Weighted Totals</v>
      </c>
      <c r="N8" s="50">
        <f>1+5*($M$1-1)</f>
        <v>-4</v>
      </c>
    </row>
    <row r="9" spans="1:30" ht="28.8" x14ac:dyDescent="0.3">
      <c r="A9" s="33"/>
      <c r="B9" s="91" t="s">
        <v>362</v>
      </c>
      <c r="C9" s="92" t="s">
        <v>363</v>
      </c>
      <c r="D9" s="92" t="s">
        <v>34</v>
      </c>
      <c r="E9" s="92" t="s">
        <v>35</v>
      </c>
      <c r="F9" s="92" t="s">
        <v>364</v>
      </c>
      <c r="G9" s="92" t="s">
        <v>365</v>
      </c>
      <c r="H9" s="92" t="s">
        <v>366</v>
      </c>
      <c r="I9" s="92" t="s">
        <v>367</v>
      </c>
      <c r="J9" s="21"/>
      <c r="K9" s="21"/>
      <c r="L9" s="21"/>
      <c r="N9" s="65"/>
    </row>
    <row r="10" spans="1:30" x14ac:dyDescent="0.3">
      <c r="A10" s="36">
        <v>2021</v>
      </c>
      <c r="B10" s="34">
        <v>93400</v>
      </c>
      <c r="C10" s="55">
        <v>0.48399999999999999</v>
      </c>
      <c r="D10" s="55">
        <v>0.38400000000000001</v>
      </c>
      <c r="E10" s="55">
        <v>0.1</v>
      </c>
      <c r="F10" s="55">
        <v>0.14899999999999999</v>
      </c>
      <c r="G10" s="55">
        <v>0.33400000000000002</v>
      </c>
      <c r="H10" s="55">
        <v>0.39800000000000002</v>
      </c>
      <c r="I10" s="55">
        <v>8.5999999999999993E-2</v>
      </c>
      <c r="N10" s="50">
        <f>3+8*($M$1-1)</f>
        <v>-5</v>
      </c>
    </row>
    <row r="11" spans="1:30" s="21" customFormat="1" x14ac:dyDescent="0.3">
      <c r="A11" s="36">
        <v>2022</v>
      </c>
      <c r="B11" s="34">
        <v>80047</v>
      </c>
      <c r="C11" s="55">
        <v>0.48499999999999999</v>
      </c>
      <c r="D11" s="55">
        <v>0.38200000000000001</v>
      </c>
      <c r="E11" s="55">
        <v>0.10199999999999999</v>
      </c>
      <c r="F11" s="55">
        <v>0.14799999999999999</v>
      </c>
      <c r="G11" s="55">
        <v>0.33700000000000002</v>
      </c>
      <c r="H11" s="55">
        <v>0.40400000000000003</v>
      </c>
      <c r="I11" s="55">
        <v>8.1000000000000003E-2</v>
      </c>
      <c r="J11"/>
      <c r="K11"/>
      <c r="L11"/>
      <c r="M11" s="50"/>
      <c r="N11" s="50">
        <f>2+8*($M$1-1)</f>
        <v>-6</v>
      </c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6"/>
      <c r="AC11" s="66"/>
    </row>
    <row r="13" spans="1:30" x14ac:dyDescent="0.3">
      <c r="A13" s="24" t="str">
        <f>CONCATENATE("Figure ", RIGHT(A8,LEN(A8)-6))</f>
        <v>Figure 59. College Enrollment Rates in the First Fall after High School Graduation for Classes 2021 and 2022, Student-Weighted Totals</v>
      </c>
    </row>
    <row r="15" spans="1:30" x14ac:dyDescent="0.3">
      <c r="J15" s="49"/>
    </row>
    <row r="20" spans="10:10" x14ac:dyDescent="0.3">
      <c r="J20" s="21"/>
    </row>
    <row r="33" spans="1:14" x14ac:dyDescent="0.3">
      <c r="A33" s="48" t="str">
        <f>CONCATENATE("Table 60. College Enrollment Rates in the First Year after High School Graduation for Classes ",A35," and ",A36,", School Percentile Distribution")</f>
        <v>Table 60. College Enrollment Rates in the First Year after High School Graduation for Classes 2020 and 2021, School Percentile Distribution</v>
      </c>
    </row>
    <row r="34" spans="1:14" ht="28.8" x14ac:dyDescent="0.3">
      <c r="A34" s="33"/>
      <c r="B34" s="91" t="s">
        <v>358</v>
      </c>
      <c r="C34" s="91" t="s">
        <v>359</v>
      </c>
      <c r="D34" s="91" t="s">
        <v>360</v>
      </c>
      <c r="E34" s="91" t="s">
        <v>361</v>
      </c>
      <c r="N34" s="50">
        <f>2+5*($M$1-1)</f>
        <v>-3</v>
      </c>
    </row>
    <row r="35" spans="1:14" x14ac:dyDescent="0.3">
      <c r="A35" s="36">
        <v>2020</v>
      </c>
      <c r="B35" s="34">
        <v>1303</v>
      </c>
      <c r="C35" s="55">
        <v>0.27300000000000002</v>
      </c>
      <c r="D35" s="55">
        <v>0.51700000000000002</v>
      </c>
      <c r="E35" s="55">
        <v>0.71099999999999997</v>
      </c>
    </row>
    <row r="36" spans="1:14" x14ac:dyDescent="0.3">
      <c r="A36" s="36">
        <v>2021</v>
      </c>
      <c r="B36" s="34">
        <v>1334</v>
      </c>
      <c r="C36" s="55">
        <v>0.28599999999999998</v>
      </c>
      <c r="D36" s="55">
        <v>0.50800000000000001</v>
      </c>
      <c r="E36" s="55">
        <v>0.70499999999999996</v>
      </c>
      <c r="K36" s="49"/>
      <c r="N36" s="50">
        <f>5+8*($M$1-1)</f>
        <v>-3</v>
      </c>
    </row>
    <row r="38" spans="1:14" x14ac:dyDescent="0.3">
      <c r="A38" s="48" t="str">
        <f>CONCATENATE("Table 61. College Enrollment Rates in the First Year after High School Graduation for Classes ",A40," and ",A41,", Student-Weighted Totals")</f>
        <v>Table 61. College Enrollment Rates in the First Year after High School Graduation for Classes 2020 and 2021, Student-Weighted Totals</v>
      </c>
    </row>
    <row r="39" spans="1:14" ht="28.8" x14ac:dyDescent="0.3">
      <c r="A39" s="33"/>
      <c r="B39" s="91" t="s">
        <v>362</v>
      </c>
      <c r="C39" s="92" t="s">
        <v>363</v>
      </c>
      <c r="D39" s="92" t="s">
        <v>34</v>
      </c>
      <c r="E39" s="92" t="s">
        <v>35</v>
      </c>
      <c r="F39" s="92" t="s">
        <v>364</v>
      </c>
      <c r="G39" s="92" t="s">
        <v>365</v>
      </c>
      <c r="H39" s="92" t="s">
        <v>366</v>
      </c>
      <c r="I39" s="92" t="s">
        <v>367</v>
      </c>
      <c r="N39" s="50">
        <f>2+5*($M$1-1)</f>
        <v>-3</v>
      </c>
    </row>
    <row r="40" spans="1:14" x14ac:dyDescent="0.3">
      <c r="A40" s="36">
        <v>2020</v>
      </c>
      <c r="B40" s="34">
        <v>89677</v>
      </c>
      <c r="C40" s="55">
        <v>0.52600000000000002</v>
      </c>
      <c r="D40" s="55">
        <v>0.41899999999999998</v>
      </c>
      <c r="E40" s="55">
        <v>0.108</v>
      </c>
      <c r="F40" s="55">
        <v>0.182</v>
      </c>
      <c r="G40" s="55">
        <v>0.34399999999999997</v>
      </c>
      <c r="H40" s="55">
        <v>0.44</v>
      </c>
      <c r="I40" s="55">
        <v>8.5999999999999993E-2</v>
      </c>
    </row>
    <row r="41" spans="1:14" x14ac:dyDescent="0.3">
      <c r="A41" s="36">
        <v>2021</v>
      </c>
      <c r="B41" s="34">
        <v>93400</v>
      </c>
      <c r="C41" s="55">
        <v>0.52100000000000002</v>
      </c>
      <c r="D41" s="55">
        <v>0.41399999999999998</v>
      </c>
      <c r="E41" s="55">
        <v>0.107</v>
      </c>
      <c r="F41" s="55">
        <v>0.16900000000000001</v>
      </c>
      <c r="G41" s="55">
        <v>0.35199999999999998</v>
      </c>
      <c r="H41" s="55">
        <v>0.42799999999999999</v>
      </c>
      <c r="I41" s="55">
        <v>9.2999999999999999E-2</v>
      </c>
      <c r="N41" s="50">
        <f>5+8*($M$1-1)</f>
        <v>-3</v>
      </c>
    </row>
    <row r="43" spans="1:14" x14ac:dyDescent="0.3">
      <c r="A43" s="24" t="str">
        <f>CONCATENATE("Figure ", RIGHT(A38,LEN(A38)-6))</f>
        <v>Figure 61. College Enrollment Rates in the First Year after High School Graduation for Classes 2020 and 2021, Student-Weighted Totals</v>
      </c>
    </row>
    <row r="50" spans="1:14" x14ac:dyDescent="0.3">
      <c r="J50" s="21"/>
    </row>
    <row r="53" spans="1:14" x14ac:dyDescent="0.3">
      <c r="J53" s="50"/>
    </row>
    <row r="63" spans="1:14" x14ac:dyDescent="0.3">
      <c r="A63" s="48" t="str">
        <f>CONCATENATE("Table 62. College Enrollment Rates in the First Two Years after High School Graduation for Classes ",A65," and ",A66,", School Percentile Distribution")</f>
        <v>Table 62. College Enrollment Rates in the First Two Years after High School Graduation for Classes 2019 and 2020, School Percentile Distribution</v>
      </c>
    </row>
    <row r="64" spans="1:14" ht="28.8" x14ac:dyDescent="0.3">
      <c r="A64" s="33"/>
      <c r="B64" s="91" t="s">
        <v>358</v>
      </c>
      <c r="C64" s="92" t="s">
        <v>359</v>
      </c>
      <c r="D64" s="92" t="s">
        <v>360</v>
      </c>
      <c r="E64" s="92" t="s">
        <v>361</v>
      </c>
      <c r="N64" s="50">
        <f>3+5*($M$1-1)</f>
        <v>-2</v>
      </c>
    </row>
    <row r="65" spans="1:29" x14ac:dyDescent="0.3">
      <c r="A65" s="36">
        <v>2019</v>
      </c>
      <c r="B65" s="34">
        <v>1333</v>
      </c>
      <c r="C65" s="55">
        <v>0.36099999999999999</v>
      </c>
      <c r="D65" s="55">
        <v>0.60499999999999998</v>
      </c>
      <c r="E65" s="55">
        <v>0.78600000000000003</v>
      </c>
    </row>
    <row r="66" spans="1:29" x14ac:dyDescent="0.3">
      <c r="A66" s="36">
        <v>2020</v>
      </c>
      <c r="B66" s="34">
        <v>1303</v>
      </c>
      <c r="C66" s="55">
        <v>0.33300000000000002</v>
      </c>
      <c r="D66" s="55">
        <v>0.57099999999999995</v>
      </c>
      <c r="E66" s="55">
        <v>0.75600000000000001</v>
      </c>
      <c r="N66" s="50">
        <f>7+8*($M$1-1)</f>
        <v>-1</v>
      </c>
    </row>
    <row r="68" spans="1:29" x14ac:dyDescent="0.3">
      <c r="A68" s="48" t="str">
        <f>CONCATENATE("Table 63. College Enrollment Rates in the First Two Years after High School Graduation for Classes ",A70," and ",A71,", Student-Weighted Totals")</f>
        <v>Table 63. College Enrollment Rates in the First Two Years after High School Graduation for Classes 2019 and 2020, Student-Weighted Totals</v>
      </c>
    </row>
    <row r="69" spans="1:29" ht="28.8" x14ac:dyDescent="0.3">
      <c r="A69" s="33"/>
      <c r="B69" s="91" t="s">
        <v>362</v>
      </c>
      <c r="C69" s="92" t="s">
        <v>363</v>
      </c>
      <c r="D69" s="92" t="s">
        <v>34</v>
      </c>
      <c r="E69" s="92" t="s">
        <v>35</v>
      </c>
      <c r="F69" s="92" t="s">
        <v>364</v>
      </c>
      <c r="G69" s="92" t="s">
        <v>365</v>
      </c>
      <c r="H69" s="92" t="s">
        <v>366</v>
      </c>
      <c r="I69" s="92" t="s">
        <v>367</v>
      </c>
      <c r="N69" s="50">
        <f>3+5*($M$1-1)</f>
        <v>-2</v>
      </c>
    </row>
    <row r="70" spans="1:29" x14ac:dyDescent="0.3">
      <c r="A70" s="36">
        <v>2019</v>
      </c>
      <c r="B70" s="34">
        <v>91407</v>
      </c>
      <c r="C70" s="55">
        <v>0.58899999999999997</v>
      </c>
      <c r="D70" s="55">
        <v>0.47899999999999998</v>
      </c>
      <c r="E70" s="55">
        <v>0.11</v>
      </c>
      <c r="F70" s="55">
        <v>0.23400000000000001</v>
      </c>
      <c r="G70" s="55">
        <v>0.35499999999999998</v>
      </c>
      <c r="H70" s="55">
        <v>0.49399999999999999</v>
      </c>
      <c r="I70" s="55">
        <v>9.5000000000000001E-2</v>
      </c>
      <c r="K70" s="21"/>
      <c r="L70" s="21"/>
      <c r="N70" s="65"/>
    </row>
    <row r="71" spans="1:29" x14ac:dyDescent="0.3">
      <c r="A71" s="36">
        <v>2020</v>
      </c>
      <c r="B71" s="34">
        <v>89677</v>
      </c>
      <c r="C71" s="55">
        <v>0.57099999999999995</v>
      </c>
      <c r="D71" s="55">
        <v>0.45500000000000002</v>
      </c>
      <c r="E71" s="55">
        <v>0.11600000000000001</v>
      </c>
      <c r="F71" s="55">
        <v>0.21</v>
      </c>
      <c r="G71" s="55">
        <v>0.36099999999999999</v>
      </c>
      <c r="H71" s="55">
        <v>0.47499999999999998</v>
      </c>
      <c r="I71" s="55">
        <v>9.6000000000000002E-2</v>
      </c>
      <c r="K71" s="50"/>
      <c r="L71" s="50"/>
      <c r="N71" s="50">
        <f>7+8*($M$1-1)</f>
        <v>-1</v>
      </c>
    </row>
    <row r="72" spans="1:29" s="21" customFormat="1" x14ac:dyDescent="0.3">
      <c r="A72"/>
      <c r="B72" s="30"/>
      <c r="C72"/>
      <c r="D72"/>
      <c r="E72"/>
      <c r="F72"/>
      <c r="G72"/>
      <c r="H72"/>
      <c r="I72"/>
      <c r="J72"/>
      <c r="K72"/>
      <c r="L72"/>
      <c r="M72" s="50"/>
      <c r="N72" s="50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6"/>
      <c r="AC72" s="66"/>
    </row>
    <row r="73" spans="1:29" x14ac:dyDescent="0.3">
      <c r="A73" s="24" t="str">
        <f>CONCATENATE("Figure ", RIGHT(A68,LEN(A68)-6))</f>
        <v>Figure 63. College Enrollment Rates in the First Two Years after High School Graduation for Classes 2019 and 2020, Student-Weighted Totals</v>
      </c>
    </row>
    <row r="79" spans="1:29" x14ac:dyDescent="0.3">
      <c r="J79" s="21"/>
    </row>
    <row r="81" spans="1:14" x14ac:dyDescent="0.3">
      <c r="J81" s="50"/>
    </row>
    <row r="93" spans="1:14" x14ac:dyDescent="0.3">
      <c r="A93" s="48" t="str">
        <f>CONCATENATE("Table 64. Persistence Rates from First to Second Year of College for Class of ",A95,", School Percentile Distribution")</f>
        <v>Table 64. Persistence Rates from First to Second Year of College for Class of 2020, School Percentile Distribution</v>
      </c>
    </row>
    <row r="94" spans="1:14" ht="28.8" x14ac:dyDescent="0.3">
      <c r="A94" s="33"/>
      <c r="B94" s="91" t="s">
        <v>358</v>
      </c>
      <c r="C94" s="92" t="s">
        <v>359</v>
      </c>
      <c r="D94" s="92" t="s">
        <v>360</v>
      </c>
      <c r="E94" s="92" t="s">
        <v>361</v>
      </c>
      <c r="N94" s="50">
        <f>4+5*($M$1-1)</f>
        <v>-1</v>
      </c>
    </row>
    <row r="95" spans="1:14" x14ac:dyDescent="0.3">
      <c r="A95" s="36">
        <v>2020</v>
      </c>
      <c r="B95" s="46">
        <v>1303</v>
      </c>
      <c r="C95" s="56">
        <v>0.6</v>
      </c>
      <c r="D95" s="56">
        <v>0.75</v>
      </c>
      <c r="E95" s="56">
        <v>0.85699999999999998</v>
      </c>
    </row>
    <row r="97" spans="1:29" x14ac:dyDescent="0.3">
      <c r="A97" s="48" t="str">
        <f>CONCATENATE("Table 65. Persistence Rates from First to Second Year of College for Class of ",A99,", Student-Weighted Totals")</f>
        <v>Table 65. Persistence Rates from First to Second Year of College for Class of 2020, Student-Weighted Totals</v>
      </c>
    </row>
    <row r="98" spans="1:29" ht="57.6" customHeight="1" x14ac:dyDescent="0.3">
      <c r="A98" s="33"/>
      <c r="B98" s="91" t="s">
        <v>368</v>
      </c>
      <c r="C98" s="92" t="s">
        <v>363</v>
      </c>
      <c r="D98" s="92" t="s">
        <v>34</v>
      </c>
      <c r="E98" s="92" t="s">
        <v>35</v>
      </c>
      <c r="F98" s="92" t="s">
        <v>364</v>
      </c>
      <c r="G98" s="92" t="s">
        <v>365</v>
      </c>
      <c r="H98" s="92" t="s">
        <v>366</v>
      </c>
      <c r="I98" s="92" t="s">
        <v>367</v>
      </c>
      <c r="N98" s="50">
        <f>4+5*($M$1-1)</f>
        <v>-1</v>
      </c>
    </row>
    <row r="99" spans="1:29" x14ac:dyDescent="0.3">
      <c r="A99" s="36">
        <v>2020</v>
      </c>
      <c r="B99" s="34">
        <v>47212</v>
      </c>
      <c r="C99" s="55">
        <v>0.76400000000000001</v>
      </c>
      <c r="D99" s="55">
        <v>0.754</v>
      </c>
      <c r="E99" s="55">
        <v>0.80600000000000005</v>
      </c>
      <c r="F99" s="55">
        <v>0.65800000000000003</v>
      </c>
      <c r="G99" s="55">
        <v>0.82099999999999995</v>
      </c>
      <c r="H99" s="55">
        <v>0.754</v>
      </c>
      <c r="I99" s="55">
        <v>0.81499999999999995</v>
      </c>
      <c r="K99" s="21"/>
      <c r="L99" s="21"/>
      <c r="N99" s="65"/>
    </row>
    <row r="100" spans="1:29" s="21" customFormat="1" x14ac:dyDescent="0.3">
      <c r="A100"/>
      <c r="B100" s="30"/>
      <c r="C100"/>
      <c r="D100"/>
      <c r="E100"/>
      <c r="F100"/>
      <c r="G100"/>
      <c r="H100"/>
      <c r="I100"/>
      <c r="J100"/>
      <c r="K100"/>
      <c r="L100"/>
      <c r="M100" s="50"/>
      <c r="N100" s="50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6"/>
      <c r="AC100" s="66"/>
    </row>
    <row r="101" spans="1:29" x14ac:dyDescent="0.3">
      <c r="A101" s="24" t="str">
        <f>CONCATENATE("Figure ", RIGHT(A97,LEN(A97)-6))</f>
        <v>Figure 65. Persistence Rates from First to Second Year of College for Class of 2020, Student-Weighted Totals</v>
      </c>
    </row>
    <row r="107" spans="1:29" x14ac:dyDescent="0.3">
      <c r="J107" s="21"/>
    </row>
    <row r="109" spans="1:29" x14ac:dyDescent="0.3">
      <c r="J109" s="50"/>
    </row>
    <row r="121" spans="1:29" x14ac:dyDescent="0.3">
      <c r="A121" s="48" t="str">
        <f>CONCATENATE("Table 66. Six-Year Completion Rates for Class of ",A123,", School Percentile Distribution")</f>
        <v>Table 66. Six-Year Completion Rates for Class of 2016, School Percentile Distribution</v>
      </c>
    </row>
    <row r="122" spans="1:29" ht="28.8" x14ac:dyDescent="0.3">
      <c r="A122" s="33"/>
      <c r="B122" s="91" t="s">
        <v>358</v>
      </c>
      <c r="C122" s="92" t="s">
        <v>359</v>
      </c>
      <c r="D122" s="92" t="s">
        <v>360</v>
      </c>
      <c r="E122" s="92" t="s">
        <v>361</v>
      </c>
      <c r="N122" s="50">
        <f>5+5*($M$1-1)</f>
        <v>0</v>
      </c>
    </row>
    <row r="123" spans="1:29" x14ac:dyDescent="0.3">
      <c r="A123" s="36">
        <v>2016</v>
      </c>
      <c r="B123" s="46">
        <v>1105</v>
      </c>
      <c r="C123" s="56">
        <v>8.2000000000000003E-2</v>
      </c>
      <c r="D123" s="56">
        <v>0.23899999999999999</v>
      </c>
      <c r="E123" s="56">
        <v>0.41699999999999998</v>
      </c>
    </row>
    <row r="125" spans="1:29" x14ac:dyDescent="0.3">
      <c r="A125" s="48" t="str">
        <f>CONCATENATE("Table 67. Six-Year Completion Rates for Class of ",A127, ", Student-Weighted Totals")</f>
        <v>Table 67. Six-Year Completion Rates for Class of 2016, Student-Weighted Totals</v>
      </c>
    </row>
    <row r="126" spans="1:29" ht="28.8" x14ac:dyDescent="0.3">
      <c r="A126" s="33"/>
      <c r="B126" s="91" t="s">
        <v>362</v>
      </c>
      <c r="C126" s="92" t="s">
        <v>363</v>
      </c>
      <c r="D126" s="92" t="s">
        <v>34</v>
      </c>
      <c r="E126" s="92" t="s">
        <v>35</v>
      </c>
      <c r="F126" s="92" t="s">
        <v>364</v>
      </c>
      <c r="G126" s="92" t="s">
        <v>365</v>
      </c>
      <c r="H126" s="92" t="s">
        <v>366</v>
      </c>
      <c r="I126" s="92" t="s">
        <v>367</v>
      </c>
      <c r="N126" s="50">
        <f>5+5*($M$1-1)</f>
        <v>0</v>
      </c>
    </row>
    <row r="127" spans="1:29" x14ac:dyDescent="0.3">
      <c r="A127" s="36">
        <v>2016</v>
      </c>
      <c r="B127" s="34">
        <v>75011</v>
      </c>
      <c r="C127" s="55">
        <v>0.307</v>
      </c>
      <c r="D127" s="55">
        <v>0.23400000000000001</v>
      </c>
      <c r="E127" s="55">
        <v>7.2999999999999995E-2</v>
      </c>
      <c r="F127" s="55">
        <v>7.2999999999999995E-2</v>
      </c>
      <c r="G127" s="55">
        <v>0.23400000000000001</v>
      </c>
      <c r="H127" s="55">
        <v>0.247</v>
      </c>
      <c r="I127" s="55">
        <v>0.06</v>
      </c>
      <c r="K127" s="21"/>
      <c r="L127" s="21"/>
      <c r="N127" s="65"/>
    </row>
    <row r="128" spans="1:29" s="21" customFormat="1" x14ac:dyDescent="0.3">
      <c r="A128"/>
      <c r="B128" s="30"/>
      <c r="C128"/>
      <c r="D128"/>
      <c r="E128"/>
      <c r="F128"/>
      <c r="G128"/>
      <c r="H128"/>
      <c r="I128"/>
      <c r="J128"/>
      <c r="K128"/>
      <c r="L128"/>
      <c r="M128" s="50"/>
      <c r="N128" s="50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6"/>
      <c r="AC128" s="66"/>
    </row>
    <row r="129" spans="1:1" x14ac:dyDescent="0.3">
      <c r="A129" s="24" t="str">
        <f>CONCATENATE("Figure ", RIGHT(A125,LEN(A125)-6))</f>
        <v>Figure 67. Six-Year Completion Rates for Class of 2016, Student-Weighted Totals</v>
      </c>
    </row>
    <row r="150" spans="1:1" x14ac:dyDescent="0.3">
      <c r="A150" s="67"/>
    </row>
    <row r="151" spans="1:1" x14ac:dyDescent="0.3">
      <c r="A151" s="67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594EC-FA2C-43C8-969F-3B40205CCC5B}">
  <dimension ref="A1:AD130"/>
  <sheetViews>
    <sheetView zoomScale="80" zoomScaleNormal="80" workbookViewId="0">
      <pane ySplit="1" topLeftCell="A2" activePane="bottomLeft" state="frozen"/>
      <selection activeCell="A61" sqref="A61:A62"/>
      <selection pane="bottomLeft"/>
    </sheetView>
  </sheetViews>
  <sheetFormatPr defaultRowHeight="14.4" x14ac:dyDescent="0.3"/>
  <cols>
    <col min="1" max="1" width="8.88671875" customWidth="1"/>
    <col min="2" max="2" width="10.6640625" style="30" customWidth="1"/>
    <col min="3" max="9" width="10.6640625" customWidth="1"/>
    <col min="13" max="23" width="9.33203125" style="50" customWidth="1"/>
    <col min="24" max="27" width="8.88671875" style="50"/>
    <col min="28" max="29" width="8.88671875" style="64"/>
  </cols>
  <sheetData>
    <row r="1" spans="1:30" ht="21" x14ac:dyDescent="0.3">
      <c r="A1" s="87" t="s">
        <v>383</v>
      </c>
      <c r="M1" s="28"/>
      <c r="R1" s="50" t="s">
        <v>384</v>
      </c>
      <c r="S1" s="50" t="s">
        <v>385</v>
      </c>
      <c r="T1" s="50" t="s">
        <v>386</v>
      </c>
      <c r="U1" s="50" t="s">
        <v>376</v>
      </c>
      <c r="V1" s="50" t="s">
        <v>377</v>
      </c>
      <c r="W1" s="50" t="s">
        <v>378</v>
      </c>
      <c r="X1" s="50" t="s">
        <v>379</v>
      </c>
      <c r="Y1" s="50" t="s">
        <v>380</v>
      </c>
      <c r="Z1" s="50" t="s">
        <v>381</v>
      </c>
      <c r="AA1" s="50" t="s">
        <v>382</v>
      </c>
      <c r="AD1" s="50"/>
    </row>
    <row r="2" spans="1:30" ht="16.2" customHeight="1" x14ac:dyDescent="0.3">
      <c r="A2" s="54"/>
      <c r="M2" s="28"/>
      <c r="AD2" s="50"/>
    </row>
    <row r="3" spans="1:30" x14ac:dyDescent="0.3">
      <c r="A3" s="90" t="s">
        <v>391</v>
      </c>
      <c r="M3" s="28"/>
      <c r="AD3" s="50"/>
    </row>
    <row r="4" spans="1:30" x14ac:dyDescent="0.3">
      <c r="A4" s="24" t="str">
        <f>CONCATENATE("Table 68. College Enrollment Rates in the First Fall after High School Graduation for Classes ",A6," and ",A7,", School Percentile Distribution")</f>
        <v>Table 68. College Enrollment Rates in the First Fall after High School Graduation for Classes 2021 and 2022, School Percentile Distribution</v>
      </c>
      <c r="N4" s="50">
        <f>1+5*($M$1-1)</f>
        <v>-4</v>
      </c>
    </row>
    <row r="5" spans="1:30" ht="28.8" x14ac:dyDescent="0.3">
      <c r="A5" s="33"/>
      <c r="B5" s="91" t="s">
        <v>358</v>
      </c>
      <c r="C5" s="92" t="s">
        <v>359</v>
      </c>
      <c r="D5" s="92" t="s">
        <v>360</v>
      </c>
      <c r="E5" s="92" t="s">
        <v>361</v>
      </c>
    </row>
    <row r="6" spans="1:30" x14ac:dyDescent="0.3">
      <c r="A6" s="36">
        <v>2021</v>
      </c>
      <c r="B6" s="34">
        <v>152</v>
      </c>
      <c r="C6" s="37" t="s">
        <v>387</v>
      </c>
      <c r="D6" s="37" t="s">
        <v>387</v>
      </c>
      <c r="E6" s="37" t="s">
        <v>387</v>
      </c>
      <c r="G6" s="31"/>
      <c r="I6" s="31"/>
      <c r="J6" s="49"/>
      <c r="K6" s="49"/>
      <c r="N6" s="50">
        <f>3+8*($M$1-1)</f>
        <v>-5</v>
      </c>
    </row>
    <row r="7" spans="1:30" x14ac:dyDescent="0.3">
      <c r="A7" s="36">
        <v>2022</v>
      </c>
      <c r="B7" s="34">
        <v>125</v>
      </c>
      <c r="C7" s="37" t="s">
        <v>387</v>
      </c>
      <c r="D7" s="37" t="s">
        <v>387</v>
      </c>
      <c r="E7" s="37" t="s">
        <v>387</v>
      </c>
      <c r="N7" s="50">
        <f>2+8*($M$1-1)</f>
        <v>-6</v>
      </c>
    </row>
    <row r="9" spans="1:30" x14ac:dyDescent="0.3">
      <c r="A9" s="24" t="str">
        <f>CONCATENATE("Table 69. College Enrollment Rates in the First Fall after High School Graduation for Classes ",A11," and ",A12,", Student-Weighted Totals")</f>
        <v>Table 69. College Enrollment Rates in the First Fall after High School Graduation for Classes 2021 and 2022, Student-Weighted Totals</v>
      </c>
      <c r="N9" s="50">
        <f>1+5*($M$1-1)</f>
        <v>-4</v>
      </c>
    </row>
    <row r="10" spans="1:30" ht="28.8" x14ac:dyDescent="0.3">
      <c r="A10" s="33"/>
      <c r="B10" s="91" t="s">
        <v>362</v>
      </c>
      <c r="C10" s="92" t="s">
        <v>363</v>
      </c>
      <c r="D10" s="92" t="s">
        <v>34</v>
      </c>
      <c r="E10" s="92" t="s">
        <v>35</v>
      </c>
      <c r="F10" s="92" t="s">
        <v>364</v>
      </c>
      <c r="G10" s="92" t="s">
        <v>365</v>
      </c>
      <c r="H10" s="92" t="s">
        <v>366</v>
      </c>
      <c r="I10" s="92" t="s">
        <v>367</v>
      </c>
      <c r="J10" s="21"/>
      <c r="K10" s="21"/>
      <c r="L10" s="21"/>
      <c r="N10" s="65"/>
    </row>
    <row r="11" spans="1:30" x14ac:dyDescent="0.3">
      <c r="A11" s="36">
        <v>2021</v>
      </c>
      <c r="B11" s="34">
        <v>18891</v>
      </c>
      <c r="C11" s="37" t="s">
        <v>387</v>
      </c>
      <c r="D11" s="37" t="s">
        <v>387</v>
      </c>
      <c r="E11" s="37" t="s">
        <v>387</v>
      </c>
      <c r="F11" s="37" t="s">
        <v>387</v>
      </c>
      <c r="G11" s="37" t="s">
        <v>387</v>
      </c>
      <c r="H11" s="37" t="s">
        <v>387</v>
      </c>
      <c r="I11" s="37" t="s">
        <v>387</v>
      </c>
      <c r="N11" s="50">
        <f>3+8*($M$1-1)</f>
        <v>-5</v>
      </c>
    </row>
    <row r="12" spans="1:30" s="21" customFormat="1" x14ac:dyDescent="0.3">
      <c r="A12" s="36">
        <v>2022</v>
      </c>
      <c r="B12" s="34">
        <v>14827</v>
      </c>
      <c r="C12" s="37" t="s">
        <v>387</v>
      </c>
      <c r="D12" s="37" t="s">
        <v>387</v>
      </c>
      <c r="E12" s="37" t="s">
        <v>387</v>
      </c>
      <c r="F12" s="37" t="s">
        <v>387</v>
      </c>
      <c r="G12" s="37" t="s">
        <v>387</v>
      </c>
      <c r="H12" s="37" t="s">
        <v>387</v>
      </c>
      <c r="I12" s="37" t="s">
        <v>387</v>
      </c>
      <c r="J12"/>
      <c r="K12"/>
      <c r="L12"/>
      <c r="M12" s="50"/>
      <c r="N12" s="50">
        <f>2+8*($M$1-1)</f>
        <v>-6</v>
      </c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6"/>
      <c r="AC12" s="66"/>
    </row>
    <row r="14" spans="1:30" x14ac:dyDescent="0.3">
      <c r="A14" s="48" t="str">
        <f>CONCATENATE("Table 70. College Enrollment Rates in the First Year after High School Graduation for Classes ",A16," and ",A17,", School Percentile Distribution")</f>
        <v>Table 70. College Enrollment Rates in the First Year after High School Graduation for Classes 2020 and 2021, School Percentile Distribution</v>
      </c>
    </row>
    <row r="15" spans="1:30" ht="28.8" x14ac:dyDescent="0.3">
      <c r="A15" s="33"/>
      <c r="B15" s="91" t="s">
        <v>358</v>
      </c>
      <c r="C15" s="91" t="s">
        <v>359</v>
      </c>
      <c r="D15" s="91" t="s">
        <v>360</v>
      </c>
      <c r="E15" s="91" t="s">
        <v>361</v>
      </c>
    </row>
    <row r="16" spans="1:30" x14ac:dyDescent="0.3">
      <c r="A16" s="36">
        <v>2020</v>
      </c>
      <c r="B16" s="34">
        <v>223</v>
      </c>
      <c r="C16" s="55">
        <v>0.78571428600000004</v>
      </c>
      <c r="D16" s="55">
        <v>0.87373737399999996</v>
      </c>
      <c r="E16" s="55">
        <v>0.921875</v>
      </c>
      <c r="J16" s="49"/>
    </row>
    <row r="17" spans="1:10" x14ac:dyDescent="0.3">
      <c r="A17" s="36">
        <v>2021</v>
      </c>
      <c r="B17" s="34">
        <v>152</v>
      </c>
      <c r="C17" s="37" t="s">
        <v>387</v>
      </c>
      <c r="D17" s="37" t="s">
        <v>387</v>
      </c>
      <c r="E17" s="37" t="s">
        <v>387</v>
      </c>
    </row>
    <row r="19" spans="1:10" x14ac:dyDescent="0.3">
      <c r="A19" s="48" t="str">
        <f>CONCATENATE("Table 71. College Enrollment Rates in the First Year after High School Graduation for Classes ",A21," and ",A22,", Student-Weighted Totals")</f>
        <v>Table 71. College Enrollment Rates in the First Year after High School Graduation for Classes 2020 and 2021, Student-Weighted Totals</v>
      </c>
    </row>
    <row r="20" spans="1:10" ht="28.8" x14ac:dyDescent="0.3">
      <c r="A20" s="33"/>
      <c r="B20" s="91" t="s">
        <v>362</v>
      </c>
      <c r="C20" s="92" t="s">
        <v>363</v>
      </c>
      <c r="D20" s="92" t="s">
        <v>34</v>
      </c>
      <c r="E20" s="92" t="s">
        <v>35</v>
      </c>
      <c r="F20" s="92" t="s">
        <v>364</v>
      </c>
      <c r="G20" s="92" t="s">
        <v>365</v>
      </c>
      <c r="H20" s="92" t="s">
        <v>366</v>
      </c>
      <c r="I20" s="92" t="s">
        <v>367</v>
      </c>
      <c r="J20" s="21"/>
    </row>
    <row r="21" spans="1:10" x14ac:dyDescent="0.3">
      <c r="A21" s="36">
        <v>2020</v>
      </c>
      <c r="B21" s="34">
        <v>28521</v>
      </c>
      <c r="C21" s="55">
        <v>0.85558009899999998</v>
      </c>
      <c r="D21" s="55">
        <v>0.500578521</v>
      </c>
      <c r="E21" s="55">
        <v>0.35500157799999998</v>
      </c>
      <c r="F21" s="55">
        <v>8.4639388999999995E-2</v>
      </c>
      <c r="G21" s="55">
        <v>0.77083552499999997</v>
      </c>
      <c r="H21" s="55">
        <v>0.517022545</v>
      </c>
      <c r="I21" s="55">
        <v>0.33855755399999998</v>
      </c>
    </row>
    <row r="22" spans="1:10" x14ac:dyDescent="0.3">
      <c r="A22" s="36">
        <v>2021</v>
      </c>
      <c r="B22" s="34">
        <v>18891</v>
      </c>
      <c r="C22" s="37" t="s">
        <v>387</v>
      </c>
      <c r="D22" s="37" t="s">
        <v>387</v>
      </c>
      <c r="E22" s="37" t="s">
        <v>387</v>
      </c>
      <c r="F22" s="37" t="s">
        <v>387</v>
      </c>
      <c r="G22" s="37" t="s">
        <v>387</v>
      </c>
      <c r="H22" s="37" t="s">
        <v>387</v>
      </c>
      <c r="I22" s="37" t="s">
        <v>387</v>
      </c>
    </row>
    <row r="24" spans="1:10" x14ac:dyDescent="0.3">
      <c r="A24" s="24" t="str">
        <f>CONCATENATE("Figure ", RIGHT(A19,LEN(A19)-6))</f>
        <v>Figure 71. College Enrollment Rates in the First Year after High School Graduation for Classes 2020 and 2021, Student-Weighted Totals</v>
      </c>
    </row>
    <row r="34" spans="1:14" x14ac:dyDescent="0.3">
      <c r="N34" s="50">
        <f>2+5*($M$1-1)</f>
        <v>-3</v>
      </c>
    </row>
    <row r="36" spans="1:14" x14ac:dyDescent="0.3">
      <c r="K36" s="49"/>
      <c r="N36" s="50">
        <f>5+8*($M$1-1)</f>
        <v>-3</v>
      </c>
    </row>
    <row r="37" spans="1:14" x14ac:dyDescent="0.3">
      <c r="N37" s="50">
        <f>4+8*($M$1-1)</f>
        <v>-4</v>
      </c>
    </row>
    <row r="40" spans="1:14" x14ac:dyDescent="0.3">
      <c r="N40" s="50">
        <f>2+5*($M$1-1)</f>
        <v>-3</v>
      </c>
    </row>
    <row r="42" spans="1:14" x14ac:dyDescent="0.3">
      <c r="N42" s="50">
        <f>5+8*($M$1-1)</f>
        <v>-3</v>
      </c>
    </row>
    <row r="44" spans="1:14" x14ac:dyDescent="0.3">
      <c r="A44" s="48" t="str">
        <f>CONCATENATE("Table 72. College Enrollment Rates in the First Two Years after High School Graduation for Classes ",A46," and ",A47,", School Percentile Distribution")</f>
        <v>Table 72. College Enrollment Rates in the First Two Years after High School Graduation for Classes 2019 and 2020, School Percentile Distribution</v>
      </c>
    </row>
    <row r="45" spans="1:14" ht="28.8" x14ac:dyDescent="0.3">
      <c r="A45" s="33"/>
      <c r="B45" s="91" t="s">
        <v>358</v>
      </c>
      <c r="C45" s="92" t="s">
        <v>359</v>
      </c>
      <c r="D45" s="92" t="s">
        <v>360</v>
      </c>
      <c r="E45" s="92" t="s">
        <v>361</v>
      </c>
    </row>
    <row r="46" spans="1:14" x14ac:dyDescent="0.3">
      <c r="A46" s="36">
        <v>2019</v>
      </c>
      <c r="B46" s="34">
        <v>260</v>
      </c>
      <c r="C46" s="55">
        <v>0.85972350200000003</v>
      </c>
      <c r="D46" s="55">
        <v>0.91383577100000002</v>
      </c>
      <c r="E46" s="55">
        <v>0.950388601</v>
      </c>
    </row>
    <row r="47" spans="1:14" x14ac:dyDescent="0.3">
      <c r="A47" s="36">
        <v>2020</v>
      </c>
      <c r="B47" s="34">
        <v>223</v>
      </c>
      <c r="C47" s="55">
        <v>0.83333333300000001</v>
      </c>
      <c r="D47" s="55">
        <v>0.89705882400000003</v>
      </c>
      <c r="E47" s="55">
        <v>0.93939393900000001</v>
      </c>
    </row>
    <row r="49" spans="1:14" x14ac:dyDescent="0.3">
      <c r="A49" s="48" t="str">
        <f>CONCATENATE("Table 73. College Enrollment Rates in the First Two Years after High School Graduation for Classes ",A51," and ",A52,", Student-Weighted Totals")</f>
        <v>Table 73. College Enrollment Rates in the First Two Years after High School Graduation for Classes 2019 and 2020, Student-Weighted Totals</v>
      </c>
    </row>
    <row r="50" spans="1:14" ht="28.8" x14ac:dyDescent="0.3">
      <c r="A50" s="33"/>
      <c r="B50" s="91" t="s">
        <v>362</v>
      </c>
      <c r="C50" s="92" t="s">
        <v>363</v>
      </c>
      <c r="D50" s="92" t="s">
        <v>34</v>
      </c>
      <c r="E50" s="92" t="s">
        <v>35</v>
      </c>
      <c r="F50" s="92" t="s">
        <v>364</v>
      </c>
      <c r="G50" s="92" t="s">
        <v>365</v>
      </c>
      <c r="H50" s="92" t="s">
        <v>366</v>
      </c>
      <c r="I50" s="92" t="s">
        <v>367</v>
      </c>
      <c r="J50" s="21"/>
    </row>
    <row r="51" spans="1:14" x14ac:dyDescent="0.3">
      <c r="A51" s="36">
        <v>2019</v>
      </c>
      <c r="B51" s="34">
        <v>35530</v>
      </c>
      <c r="C51" s="55">
        <v>0.90278637799999994</v>
      </c>
      <c r="D51" s="55">
        <v>0.51846327000000003</v>
      </c>
      <c r="E51" s="55">
        <v>0.384323107</v>
      </c>
      <c r="F51" s="55">
        <v>8.3732056999999999E-2</v>
      </c>
      <c r="G51" s="55">
        <v>0.81902617499999997</v>
      </c>
      <c r="H51" s="55">
        <v>0.52426118799999999</v>
      </c>
      <c r="I51" s="55">
        <v>0.37852519000000001</v>
      </c>
    </row>
    <row r="52" spans="1:14" x14ac:dyDescent="0.3">
      <c r="A52" s="36">
        <v>2020</v>
      </c>
      <c r="B52" s="34">
        <v>28521</v>
      </c>
      <c r="C52" s="55">
        <v>0.88138564600000002</v>
      </c>
      <c r="D52" s="55">
        <v>0.51597068800000001</v>
      </c>
      <c r="E52" s="55">
        <v>0.36541495699999998</v>
      </c>
      <c r="F52" s="55">
        <v>9.2142632000000002E-2</v>
      </c>
      <c r="G52" s="55">
        <v>0.78910276599999996</v>
      </c>
      <c r="H52" s="55">
        <v>0.530170751</v>
      </c>
      <c r="I52" s="55">
        <v>0.351214894</v>
      </c>
    </row>
    <row r="54" spans="1:14" x14ac:dyDescent="0.3">
      <c r="A54" s="24" t="str">
        <f>CONCATENATE("Figure ", RIGHT(A49,LEN(A49)-6))</f>
        <v>Figure 73. College Enrollment Rates in the First Two Years after High School Graduation for Classes 2019 and 2020, Student-Weighted Totals</v>
      </c>
    </row>
    <row r="64" spans="1:14" x14ac:dyDescent="0.3">
      <c r="N64" s="50">
        <f>3+5*($M$1-1)</f>
        <v>-2</v>
      </c>
    </row>
    <row r="66" spans="1:29" x14ac:dyDescent="0.3">
      <c r="N66" s="50">
        <f>7+8*($M$1-1)</f>
        <v>-1</v>
      </c>
    </row>
    <row r="67" spans="1:29" x14ac:dyDescent="0.3">
      <c r="N67" s="50">
        <f>6+8*($M$1-1)</f>
        <v>-2</v>
      </c>
    </row>
    <row r="70" spans="1:29" x14ac:dyDescent="0.3">
      <c r="N70" s="50">
        <f>3+5*($M$1-1)</f>
        <v>-2</v>
      </c>
    </row>
    <row r="71" spans="1:29" x14ac:dyDescent="0.3">
      <c r="K71" s="21"/>
      <c r="L71" s="21"/>
      <c r="N71" s="65"/>
    </row>
    <row r="72" spans="1:29" x14ac:dyDescent="0.3">
      <c r="K72" s="50"/>
      <c r="L72" s="50"/>
      <c r="N72" s="50">
        <f>7+8*($M$1-1)</f>
        <v>-1</v>
      </c>
    </row>
    <row r="73" spans="1:29" s="21" customFormat="1" x14ac:dyDescent="0.3">
      <c r="A73"/>
      <c r="B73" s="30"/>
      <c r="C73"/>
      <c r="D73"/>
      <c r="E73"/>
      <c r="F73"/>
      <c r="G73"/>
      <c r="H73"/>
      <c r="I73"/>
      <c r="J73"/>
      <c r="K73"/>
      <c r="L73"/>
      <c r="M73" s="50"/>
      <c r="N73" s="50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6"/>
      <c r="AC73" s="66"/>
    </row>
    <row r="74" spans="1:29" x14ac:dyDescent="0.3">
      <c r="A74" s="48" t="str">
        <f>CONCATENATE("Table 74. Persistence Rates from First to Second Year of College for Class of ",A76,", School Percentile Distribution")</f>
        <v>Table 74. Persistence Rates from First to Second Year of College for Class of 2020, School Percentile Distribution</v>
      </c>
    </row>
    <row r="75" spans="1:29" ht="28.8" x14ac:dyDescent="0.3">
      <c r="A75" s="33"/>
      <c r="B75" s="91" t="s">
        <v>358</v>
      </c>
      <c r="C75" s="92" t="s">
        <v>359</v>
      </c>
      <c r="D75" s="92" t="s">
        <v>360</v>
      </c>
      <c r="E75" s="92" t="s">
        <v>361</v>
      </c>
    </row>
    <row r="76" spans="1:29" x14ac:dyDescent="0.3">
      <c r="A76" s="36">
        <v>2020</v>
      </c>
      <c r="B76" s="46">
        <v>223</v>
      </c>
      <c r="C76" s="56">
        <v>0.86301369900000002</v>
      </c>
      <c r="D76" s="56">
        <v>0.92734427500000005</v>
      </c>
      <c r="E76" s="56">
        <v>0.96341463400000005</v>
      </c>
    </row>
    <row r="78" spans="1:29" x14ac:dyDescent="0.3">
      <c r="A78" s="48" t="str">
        <f>CONCATENATE("Table 75. Persistence Rates from First to Second Year of College for Class of ",A80,", Student-Weighted Totals")</f>
        <v>Table 75. Persistence Rates from First to Second Year of College for Class of 2020, Student-Weighted Totals</v>
      </c>
    </row>
    <row r="79" spans="1:29" ht="57.6" customHeight="1" x14ac:dyDescent="0.3">
      <c r="A79" s="33"/>
      <c r="B79" s="91" t="s">
        <v>368</v>
      </c>
      <c r="C79" s="92" t="s">
        <v>363</v>
      </c>
      <c r="D79" s="92" t="s">
        <v>34</v>
      </c>
      <c r="E79" s="92" t="s">
        <v>35</v>
      </c>
      <c r="F79" s="92" t="s">
        <v>364</v>
      </c>
      <c r="G79" s="92" t="s">
        <v>365</v>
      </c>
      <c r="H79" s="92" t="s">
        <v>366</v>
      </c>
      <c r="I79" s="92" t="s">
        <v>367</v>
      </c>
      <c r="J79" s="21"/>
    </row>
    <row r="80" spans="1:29" x14ac:dyDescent="0.3">
      <c r="A80" s="36">
        <v>2020</v>
      </c>
      <c r="B80" s="34">
        <v>24402</v>
      </c>
      <c r="C80" s="55">
        <v>0.91963773500000001</v>
      </c>
      <c r="D80" s="55">
        <v>0.90144988400000003</v>
      </c>
      <c r="E80" s="55">
        <v>0.94528395099999996</v>
      </c>
      <c r="F80" s="55">
        <v>0.74067936999999995</v>
      </c>
      <c r="G80" s="55">
        <v>0.93941323600000004</v>
      </c>
      <c r="H80" s="55">
        <v>0.89685338400000003</v>
      </c>
      <c r="I80" s="55">
        <v>0.954432477</v>
      </c>
    </row>
    <row r="82" spans="1:14" x14ac:dyDescent="0.3">
      <c r="A82" s="24" t="str">
        <f>CONCATENATE("Figure ", RIGHT(A78,LEN(A78)-6))</f>
        <v>Figure 75. Persistence Rates from First to Second Year of College for Class of 2020, Student-Weighted Totals</v>
      </c>
    </row>
    <row r="94" spans="1:14" x14ac:dyDescent="0.3">
      <c r="N94" s="50">
        <f>4+5*($M$1-1)</f>
        <v>-1</v>
      </c>
    </row>
    <row r="96" spans="1:14" x14ac:dyDescent="0.3">
      <c r="N96" s="50">
        <f>8+8*($M$1-1)</f>
        <v>0</v>
      </c>
    </row>
    <row r="99" spans="1:29" x14ac:dyDescent="0.3">
      <c r="N99" s="50">
        <f>4+5*($M$1-1)</f>
        <v>-1</v>
      </c>
    </row>
    <row r="100" spans="1:29" x14ac:dyDescent="0.3">
      <c r="K100" s="21"/>
      <c r="L100" s="21"/>
      <c r="N100" s="65"/>
    </row>
    <row r="101" spans="1:29" s="21" customFormat="1" x14ac:dyDescent="0.3">
      <c r="A101"/>
      <c r="B101" s="30"/>
      <c r="C101"/>
      <c r="D101"/>
      <c r="E101"/>
      <c r="F101"/>
      <c r="G101"/>
      <c r="H101"/>
      <c r="I101"/>
      <c r="J101"/>
      <c r="K101"/>
      <c r="L101"/>
      <c r="M101" s="50"/>
      <c r="N101" s="50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6"/>
      <c r="AC101" s="66"/>
    </row>
    <row r="102" spans="1:29" x14ac:dyDescent="0.3">
      <c r="A102" s="48" t="str">
        <f>CONCATENATE("Table 76. Six-Year Completion Rates for Class of ",A104,", School Percentile Distribution")</f>
        <v>Table 76. Six-Year Completion Rates for Class of 2016, School Percentile Distribution</v>
      </c>
    </row>
    <row r="103" spans="1:29" ht="28.8" x14ac:dyDescent="0.3">
      <c r="A103" s="33"/>
      <c r="B103" s="91" t="s">
        <v>358</v>
      </c>
      <c r="C103" s="92" t="s">
        <v>359</v>
      </c>
      <c r="D103" s="92" t="s">
        <v>360</v>
      </c>
      <c r="E103" s="92" t="s">
        <v>361</v>
      </c>
    </row>
    <row r="104" spans="1:29" x14ac:dyDescent="0.3">
      <c r="A104" s="36">
        <v>2016</v>
      </c>
      <c r="B104" s="46">
        <v>238</v>
      </c>
      <c r="C104" s="56">
        <v>0.622</v>
      </c>
      <c r="D104" s="56">
        <v>0.73</v>
      </c>
      <c r="E104" s="56">
        <v>0.81299999999999994</v>
      </c>
    </row>
    <row r="106" spans="1:29" x14ac:dyDescent="0.3">
      <c r="A106" s="48" t="str">
        <f>CONCATENATE("Table 77. Six-Year Completion Rates for Class of ",A108, ", Student-Weighted Totals")</f>
        <v>Table 77. Six-Year Completion Rates for Class of 2016, Student-Weighted Totals</v>
      </c>
    </row>
    <row r="107" spans="1:29" ht="28.8" x14ac:dyDescent="0.3">
      <c r="A107" s="33"/>
      <c r="B107" s="91" t="s">
        <v>362</v>
      </c>
      <c r="C107" s="92" t="s">
        <v>363</v>
      </c>
      <c r="D107" s="92" t="s">
        <v>34</v>
      </c>
      <c r="E107" s="92" t="s">
        <v>35</v>
      </c>
      <c r="F107" s="92" t="s">
        <v>364</v>
      </c>
      <c r="G107" s="92" t="s">
        <v>365</v>
      </c>
      <c r="H107" s="92" t="s">
        <v>366</v>
      </c>
      <c r="I107" s="92" t="s">
        <v>367</v>
      </c>
      <c r="J107" s="21"/>
    </row>
    <row r="108" spans="1:29" x14ac:dyDescent="0.3">
      <c r="A108" s="36">
        <v>2016</v>
      </c>
      <c r="B108" s="34">
        <v>32303</v>
      </c>
      <c r="C108" s="55">
        <v>0.71799999999999997</v>
      </c>
      <c r="D108" s="55">
        <v>0.39400000000000002</v>
      </c>
      <c r="E108" s="55">
        <v>0.32300000000000001</v>
      </c>
      <c r="F108" s="55">
        <v>4.3999999999999997E-2</v>
      </c>
      <c r="G108" s="55">
        <v>0.67300000000000004</v>
      </c>
      <c r="H108" s="55">
        <v>0.41199999999999998</v>
      </c>
      <c r="I108" s="55">
        <v>0.30599999999999999</v>
      </c>
    </row>
    <row r="110" spans="1:29" x14ac:dyDescent="0.3">
      <c r="A110" s="24" t="str">
        <f>CONCATENATE("Figure ", RIGHT(A106,LEN(A106)-6))</f>
        <v>Figure 77. Six-Year Completion Rates for Class of 2016, Student-Weighted Totals</v>
      </c>
    </row>
    <row r="122" spans="11:14" x14ac:dyDescent="0.3">
      <c r="N122" s="50">
        <f>5+5*($M$1-1)</f>
        <v>0</v>
      </c>
    </row>
    <row r="124" spans="11:14" x14ac:dyDescent="0.3">
      <c r="N124" s="50">
        <f>9+8*($M$1-1)</f>
        <v>1</v>
      </c>
    </row>
    <row r="127" spans="11:14" x14ac:dyDescent="0.3">
      <c r="N127" s="50">
        <f>5+5*($M$1-1)</f>
        <v>0</v>
      </c>
    </row>
    <row r="128" spans="11:14" x14ac:dyDescent="0.3">
      <c r="K128" s="21"/>
      <c r="L128" s="21"/>
      <c r="N128" s="65"/>
    </row>
    <row r="129" spans="1:29" s="21" customFormat="1" x14ac:dyDescent="0.3">
      <c r="A129"/>
      <c r="B129" s="30"/>
      <c r="C129"/>
      <c r="D129"/>
      <c r="E129"/>
      <c r="F129"/>
      <c r="G129"/>
      <c r="H129"/>
      <c r="I129"/>
      <c r="J129"/>
      <c r="K129"/>
      <c r="L129"/>
      <c r="M129" s="50"/>
      <c r="N129" s="50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6"/>
      <c r="AC129" s="66"/>
    </row>
    <row r="130" spans="1:29" x14ac:dyDescent="0.3">
      <c r="A130" s="67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39d5ed-4b9c-4f39-b600-367bc72b8aa2">
      <Terms xmlns="http://schemas.microsoft.com/office/infopath/2007/PartnerControls"/>
    </lcf76f155ced4ddcb4097134ff3c332f>
    <TaxCatchAll xmlns="f996994f-c7f3-4d4f-bc5f-c25091af035b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DCB90E14FB264DB6503D6A84AEC64F" ma:contentTypeVersion="18" ma:contentTypeDescription="Create a new document." ma:contentTypeScope="" ma:versionID="bef66507a10d9e6e21187a9304f80d1e">
  <xsd:schema xmlns:xsd="http://www.w3.org/2001/XMLSchema" xmlns:xs="http://www.w3.org/2001/XMLSchema" xmlns:p="http://schemas.microsoft.com/office/2006/metadata/properties" xmlns:ns1="http://schemas.microsoft.com/sharepoint/v3" xmlns:ns2="d339d5ed-4b9c-4f39-b600-367bc72b8aa2" xmlns:ns3="f996994f-c7f3-4d4f-bc5f-c25091af035b" targetNamespace="http://schemas.microsoft.com/office/2006/metadata/properties" ma:root="true" ma:fieldsID="fecc6041a2385314c60fbab6bf4ca501" ns1:_="" ns2:_="" ns3:_="">
    <xsd:import namespace="http://schemas.microsoft.com/sharepoint/v3"/>
    <xsd:import namespace="d339d5ed-4b9c-4f39-b600-367bc72b8aa2"/>
    <xsd:import namespace="f996994f-c7f3-4d4f-bc5f-c25091af03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39d5ed-4b9c-4f39-b600-367bc72b8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f54ee82-8af7-4db5-bda0-11c9b8bb07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96994f-c7f3-4d4f-bc5f-c25091af035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87b83e2-822e-47ca-9352-b3068bc4914a}" ma:internalName="TaxCatchAll" ma:showField="CatchAllData" ma:web="f996994f-c7f3-4d4f-bc5f-c25091af03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D9B660-5818-41BE-A747-E9515CE301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A5892D-840F-407E-9AA0-156D50B1B101}">
  <ds:schemaRefs>
    <ds:schemaRef ds:uri="http://schemas.microsoft.com/office/2006/metadata/properties"/>
    <ds:schemaRef ds:uri="http://schemas.microsoft.com/office/infopath/2007/PartnerControls"/>
    <ds:schemaRef ds:uri="d339d5ed-4b9c-4f39-b600-367bc72b8aa2"/>
    <ds:schemaRef ds:uri="f996994f-c7f3-4d4f-bc5f-c25091af035b"/>
  </ds:schemaRefs>
</ds:datastoreItem>
</file>

<file path=customXml/itemProps3.xml><?xml version="1.0" encoding="utf-8"?>
<ds:datastoreItem xmlns:ds="http://schemas.openxmlformats.org/officeDocument/2006/customXml" ds:itemID="{8152F0F2-231F-43AE-A44F-1554002215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List of Tables</vt:lpstr>
      <vt:lpstr>1 Public Non-Charter Overall</vt:lpstr>
      <vt:lpstr>2 Public Non-Charter Majors</vt:lpstr>
      <vt:lpstr>3 Public Non-Charter Poverty</vt:lpstr>
      <vt:lpstr>4 Public Non-Charter Income</vt:lpstr>
      <vt:lpstr>5 Public Non-Charter Minority</vt:lpstr>
      <vt:lpstr>6 Public Non-Charter Urbanicity</vt:lpstr>
      <vt:lpstr>7 Public Charter Schools</vt:lpstr>
      <vt:lpstr>8 Private Schools</vt:lpstr>
      <vt:lpstr>9 Special Analysis of 2020 Grad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Karamarkovich</dc:creator>
  <cp:keywords/>
  <dc:description/>
  <cp:lastModifiedBy>Sarah Karamarkovich</cp:lastModifiedBy>
  <cp:revision/>
  <dcterms:created xsi:type="dcterms:W3CDTF">2023-08-30T17:38:09Z</dcterms:created>
  <dcterms:modified xsi:type="dcterms:W3CDTF">2023-09-13T13:05:07Z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0x010100B0DCB90E14FB264DB6503D6A84AEC64F</vt:lpwstr>
  </property>
  <property fmtid="{D5CDD505-2E9C-101B-9397-08002B2CF9AE}" pid="3" name="MediaServiceImageTags">
    <vt:lpwstr/>
  </property>
</Properties>
</file>