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tudentclearinghouse.sharepoint.com/sites/ResearchServicesfromZdrive/Shared Documents/Research Services/PUBLICATIONS/HS Benchmarks/2025/"/>
    </mc:Choice>
  </mc:AlternateContent>
  <xr:revisionPtr revIDLastSave="3149" documentId="8_{CD1B642F-540D-4996-B24C-2B94415F33DF}" xr6:coauthVersionLast="47" xr6:coauthVersionMax="47" xr10:uidLastSave="{D3459DF9-481D-435E-ACC1-9F69757A788E}"/>
  <bookViews>
    <workbookView xWindow="-28920" yWindow="-120" windowWidth="29040" windowHeight="15720" tabRatio="801" xr2:uid="{DF526A1E-D271-4D69-98D1-98548A85F9F7}"/>
  </bookViews>
  <sheets>
    <sheet name="List of Tables" sheetId="18" r:id="rId1"/>
    <sheet name="1 Public Non-Charter Overall" sheetId="2" r:id="rId2"/>
    <sheet name="2 Public Non-Charter Majors" sheetId="3" r:id="rId3"/>
    <sheet name="3 Public Non-Charter Poverty" sheetId="4" r:id="rId4"/>
    <sheet name="4 Public Non-Charter Income" sheetId="12" r:id="rId5"/>
    <sheet name="5 Public Non-Charter Minority" sheetId="11" r:id="rId6"/>
    <sheet name="6 Public Non-Charter Urbanicity" sheetId="13" r:id="rId7"/>
    <sheet name="7 Public Charter Schools" sheetId="14" r:id="rId8"/>
    <sheet name="8 Private Schools" sheetId="15" r:id="rId9"/>
    <sheet name="9 Income Trend Adjustment" sheetId="10" r:id="rId10"/>
    <sheet name="10 Poverty Trend Adjustment" sheetId="17"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8" l="1"/>
  <c r="B88" i="18"/>
  <c r="B87" i="18"/>
  <c r="B86" i="18"/>
  <c r="B85" i="18"/>
  <c r="B84" i="18"/>
  <c r="B83" i="18"/>
  <c r="B82" i="18"/>
  <c r="B81" i="18"/>
  <c r="B80" i="18"/>
  <c r="B79" i="18"/>
  <c r="B78" i="18"/>
  <c r="B77"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3" i="18"/>
  <c r="B32" i="18"/>
  <c r="B34" i="18"/>
  <c r="B31" i="18"/>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B4" i="18"/>
  <c r="M5" i="10"/>
  <c r="A5" i="10"/>
  <c r="M5" i="17"/>
  <c r="A5" i="17"/>
  <c r="A9" i="15"/>
  <c r="A9" i="11"/>
  <c r="A4" i="14"/>
  <c r="AA53" i="13"/>
  <c r="AA48" i="13"/>
  <c r="AA42" i="13"/>
  <c r="AA37" i="13"/>
  <c r="AA31" i="13"/>
  <c r="AA26" i="13"/>
  <c r="AA20" i="13"/>
  <c r="AA15" i="13"/>
  <c r="AA9" i="13"/>
  <c r="AA4" i="13"/>
  <c r="N4" i="13"/>
  <c r="N9" i="13"/>
  <c r="N15" i="13"/>
  <c r="N20" i="13"/>
  <c r="N26" i="13"/>
  <c r="A53" i="15"/>
  <c r="N31" i="13"/>
  <c r="A48" i="15"/>
  <c r="N37" i="13"/>
  <c r="A42" i="15"/>
  <c r="N42" i="13"/>
  <c r="A37" i="15"/>
  <c r="N48" i="13"/>
  <c r="A31" i="15"/>
  <c r="N53" i="13"/>
  <c r="A26" i="15"/>
  <c r="A53" i="13"/>
  <c r="A48" i="13"/>
  <c r="A20" i="15"/>
  <c r="A15" i="15"/>
  <c r="A42" i="13"/>
  <c r="A37" i="13"/>
  <c r="A4" i="15"/>
  <c r="A31" i="13"/>
  <c r="A26" i="13"/>
  <c r="A20" i="13"/>
  <c r="A15" i="13"/>
  <c r="A9" i="13"/>
  <c r="A4" i="13"/>
  <c r="A53" i="14"/>
  <c r="A48" i="14"/>
  <c r="A42" i="14"/>
  <c r="A37" i="14"/>
  <c r="A31" i="14"/>
  <c r="A26" i="14"/>
  <c r="A20" i="14"/>
  <c r="A15" i="14"/>
  <c r="A9" i="14"/>
  <c r="N53" i="12"/>
  <c r="A53" i="12"/>
  <c r="N48" i="12"/>
  <c r="A48" i="12"/>
  <c r="N42" i="12"/>
  <c r="A42" i="12"/>
  <c r="N37" i="12"/>
  <c r="A37" i="12"/>
  <c r="A31" i="12"/>
  <c r="N31" i="12"/>
  <c r="N26" i="12"/>
  <c r="A26" i="12"/>
  <c r="N20" i="12"/>
  <c r="N15" i="12"/>
  <c r="A20" i="12"/>
  <c r="A15" i="12"/>
  <c r="N9" i="12"/>
  <c r="A9" i="12"/>
  <c r="N4" i="12"/>
  <c r="A4" i="12"/>
  <c r="N53" i="11"/>
  <c r="A53" i="11"/>
  <c r="N48" i="11"/>
  <c r="A48" i="11"/>
  <c r="N42" i="11"/>
  <c r="A42" i="11"/>
  <c r="N37" i="11"/>
  <c r="A37" i="11"/>
  <c r="N31" i="11"/>
  <c r="A31" i="11"/>
  <c r="N26" i="11"/>
  <c r="A26" i="11"/>
  <c r="N20" i="11"/>
  <c r="A20" i="11"/>
  <c r="N15" i="11"/>
  <c r="A15" i="11"/>
  <c r="N9" i="11"/>
  <c r="N4" i="11"/>
  <c r="A4" i="11"/>
  <c r="N42" i="4" l="1"/>
  <c r="N37" i="4"/>
  <c r="A42" i="4"/>
  <c r="A37" i="4"/>
  <c r="N48" i="4"/>
  <c r="N53" i="4"/>
  <c r="A48" i="4"/>
  <c r="A53" i="4"/>
  <c r="N31" i="4"/>
  <c r="N26" i="4"/>
  <c r="A31" i="4"/>
  <c r="A26" i="4"/>
  <c r="N20" i="4"/>
  <c r="N15" i="4"/>
  <c r="A20" i="4"/>
  <c r="A15" i="4"/>
  <c r="N9" i="4"/>
  <c r="N4" i="4"/>
  <c r="A9" i="4"/>
  <c r="A4" i="4"/>
</calcChain>
</file>

<file path=xl/sharedStrings.xml><?xml version="1.0" encoding="utf-8"?>
<sst xmlns="http://schemas.openxmlformats.org/spreadsheetml/2006/main" count="1470" uniqueCount="143">
  <si>
    <t>High School Benchmarks Report</t>
  </si>
  <si>
    <t>Tab</t>
  </si>
  <si>
    <t>List of Tables</t>
  </si>
  <si>
    <t>1 Public Non-Charter Overall</t>
  </si>
  <si>
    <t>2 Public Non-Charter Majors</t>
  </si>
  <si>
    <t>3 Public Non-Charter Poverty</t>
  </si>
  <si>
    <t>4 Public Non-Charter Income</t>
  </si>
  <si>
    <t>5 Public Non-Charter Minorirty</t>
  </si>
  <si>
    <t>6 Public Non-Charter Urbanicity</t>
  </si>
  <si>
    <t>7 Public Charter Schools</t>
  </si>
  <si>
    <t>8 Private Schools</t>
  </si>
  <si>
    <t>Enrollment, Persistence, and Completion Across High School and College Characteristics, Public Non-Charter High Schools</t>
  </si>
  <si>
    <t>Urban HS</t>
  </si>
  <si>
    <t>Suburban HS</t>
  </si>
  <si>
    <t>Rural HS</t>
  </si>
  <si>
    <t>Overall</t>
  </si>
  <si>
    <t>Four-Year</t>
  </si>
  <si>
    <t>Two-Year</t>
  </si>
  <si>
    <t>Public</t>
  </si>
  <si>
    <t>Private</t>
  </si>
  <si>
    <t>In-State</t>
  </si>
  <si>
    <t>Out-of-State</t>
  </si>
  <si>
    <t>Students with any completion</t>
  </si>
  <si>
    <t>Students with any completion in STEM</t>
  </si>
  <si>
    <t>Students with Bachelors degree</t>
  </si>
  <si>
    <t>Students with Bachelors degree in STEM</t>
  </si>
  <si>
    <t>Low Income, High Minority</t>
  </si>
  <si>
    <t>Low Income, Low Minority</t>
  </si>
  <si>
    <t>Higher Income, High Minority</t>
  </si>
  <si>
    <t>Higher Income, Low Minority</t>
  </si>
  <si>
    <t>Top Five Majors Across College Level, Public Non-Charter High Schools</t>
  </si>
  <si>
    <t>At Two-Year Colleges</t>
  </si>
  <si>
    <t>At Four-Year Colleges</t>
  </si>
  <si>
    <t>Major</t>
  </si>
  <si>
    <t>Count</t>
  </si>
  <si>
    <t>Share</t>
  </si>
  <si>
    <t>Postsecondary Enrollment, Persistence, and Completion Across High School Poverty Level</t>
  </si>
  <si>
    <t>N of schools</t>
  </si>
  <si>
    <t>25th percentile</t>
  </si>
  <si>
    <t>50th percentile</t>
  </si>
  <si>
    <t>75th percentile</t>
  </si>
  <si>
    <t>N of total HS Graduates</t>
  </si>
  <si>
    <t>Total</t>
  </si>
  <si>
    <t>Two-year</t>
  </si>
  <si>
    <t>Four-year</t>
  </si>
  <si>
    <t>In-state</t>
  </si>
  <si>
    <t>Out-of-state</t>
  </si>
  <si>
    <t>Students enrolled in first year</t>
  </si>
  <si>
    <t>Postsecondary Enrollment, Persistence, and Completion Across High School Income Level</t>
  </si>
  <si>
    <t>Postsecondary Enrollment, Persistence, and Completion Across High School Minority Level</t>
  </si>
  <si>
    <t>Postsecondary Enrollment, Persistence, and Completion Across High School Urbanicity</t>
  </si>
  <si>
    <t>Urban High Schools</t>
  </si>
  <si>
    <t>Suburban High Schools</t>
  </si>
  <si>
    <t>Rural High Schools</t>
  </si>
  <si>
    <t>Postsecondary Enrollment, Persistence, and Completion for Public Charter High School Graduates</t>
  </si>
  <si>
    <t>Postsecondary Enrollment, Persistence, and Completion for Private High School Graduates</t>
  </si>
  <si>
    <t>High School Graduating Class</t>
  </si>
  <si>
    <t>N Schools in NSC</t>
  </si>
  <si>
    <t>N Schools in NCES</t>
  </si>
  <si>
    <t>N of Students in NSC</t>
  </si>
  <si>
    <t>N of Students in NCES</t>
  </si>
  <si>
    <t>Class of 2021</t>
  </si>
  <si>
    <t>Class of 2022</t>
  </si>
  <si>
    <t>Class of 2023</t>
  </si>
  <si>
    <t>Class of 2018</t>
  </si>
  <si>
    <t>Class of 2024</t>
  </si>
  <si>
    <t>Table 1. Rates of College Enrollment in the First Fall after High School Graduation for Class of 2024</t>
  </si>
  <si>
    <t>Table 2. Rates of College Enrollment in the First Fall after High School Graduation for Class of 2023</t>
  </si>
  <si>
    <t>Table 3. Rates of College Enrollment in the First Year after High School Graduation for Class of 2023</t>
  </si>
  <si>
    <t>Table 4. Rates of College Enrollment in the First Year after High School Graduation for Class of 2022</t>
  </si>
  <si>
    <t>Table 5. Rates of College Enrollment in the First Two Years after High School Graduation for Class of 2022</t>
  </si>
  <si>
    <t>Table 6. Rates of College Enrollment in the First Two Years after High School Graduation for Class of 2021</t>
  </si>
  <si>
    <t>Table 7. Persistence Rates from First to Second Year of College for Class of 2022</t>
  </si>
  <si>
    <t>Table 8. Persistence Rates from First to Second Year of College for Class of 2021</t>
  </si>
  <si>
    <t>Table 9. Six-Year Completion Rates for Class of 2018</t>
  </si>
  <si>
    <t>Table 10. Six-Year Completion Rates for Class of 2017</t>
  </si>
  <si>
    <t>Table 11. Six-Year Completion Rates for Class of 2018, STEM</t>
  </si>
  <si>
    <t>Table 13. Rates of College Enrollment in the First Fall after High School Graduation for Class of 2024 by Income and Minority Levels</t>
  </si>
  <si>
    <t>Table 14. Persistence Rates from First to Second Year of College for Class of 2022 by Income and Minority Levels</t>
  </si>
  <si>
    <t>Table 15. Six-Year College Completion Rates for Class of 2018 by Income and Minority Levels</t>
  </si>
  <si>
    <t>Biological</t>
  </si>
  <si>
    <t>Computer Science</t>
  </si>
  <si>
    <t>Earth Science</t>
  </si>
  <si>
    <t>Engineering</t>
  </si>
  <si>
    <t>Mathematics</t>
  </si>
  <si>
    <t>Physical Sciences</t>
  </si>
  <si>
    <t>Psychology</t>
  </si>
  <si>
    <t>Social Sciences</t>
  </si>
  <si>
    <t>Table 16a. Top Five Majors for Students with First Fall Enrollment, Class of 2024</t>
  </si>
  <si>
    <t>Table 16b. Top Five Majors for Students with First Fall Enrollment, Class of 2024</t>
  </si>
  <si>
    <t>Table 17a. Top Five Majors for Students with First Year Persistence, Class of 2022</t>
  </si>
  <si>
    <t>Table 17b. Top Five Majors for Students with First Year Persistence, Class of 2022</t>
  </si>
  <si>
    <t>Table 18a. Top Five Majors for Students with Completion within Six Years, Class of 2018</t>
  </si>
  <si>
    <t>Table 18b. Top Five Majors for Students with Completion within Six Years, Class of 2018</t>
  </si>
  <si>
    <t>Liberal Arts and Sciences, General Studies and Humanities</t>
  </si>
  <si>
    <t>Health Professions and Related Clinical Sciences</t>
  </si>
  <si>
    <t>Business, Management, Marketing, and Related Support</t>
  </si>
  <si>
    <t>Mechanic and Repair Technologies/Technicians</t>
  </si>
  <si>
    <t>Security and Protective Services</t>
  </si>
  <si>
    <t>Computer and Information Sciences and Support Services</t>
  </si>
  <si>
    <t>Visual and Performing Arts</t>
  </si>
  <si>
    <t>Multi/Interdisciplinary Studies</t>
  </si>
  <si>
    <t>Biological and Biomedical Sciences</t>
  </si>
  <si>
    <t>Education</t>
  </si>
  <si>
    <t>Table 80a. College Enrollment Rates in the First Fall after High School Graduation for Class of 2024 and Class of 2024 Adjusted to 2023 High School Income Designations</t>
  </si>
  <si>
    <t xml:space="preserve">2024 Adjusted </t>
  </si>
  <si>
    <t>Table 80b. College Enrollment Rates in the First Fall after High School Graduation for Class of 2024 and Class of 2024 Adjusted to 2023 High School Income Designations</t>
  </si>
  <si>
    <t>Table 81a. College Enrollment Rates in the First Year after High School Graduation for Class of 2023 and Class of 2023 Adjusted to 2022 High School Income Designations</t>
  </si>
  <si>
    <t>Table 81b. College Enrollment Rates in the First Year after High School Graduation for Class of 2023 and Class of 2023 Adjusted to 2022 High School Income Designations</t>
  </si>
  <si>
    <t>Table 82a. College Enrollment Rates in the First Fall after High School Graduation for Class of 2024 and Class of 2024 Adjusted to 2023 High School Income Designations by Minority Levels</t>
  </si>
  <si>
    <t>Table 82b. College Enrollment Rates in the First Fall after High School Graduation for Class of 2024 and Class of 2024 Adjusted to 2023 High School Income Designations by Minority Levels</t>
  </si>
  <si>
    <t>Table 83a. College Enrollment Rates in the First Year after High School Graduation for Class of 2023 and Class of 2023 Adjusted to 2022 High School Income Designations by Minority Levels</t>
  </si>
  <si>
    <t>Table 83b. College Enrollment Rates in the First Year after High School Graduation for Class of 2023 and Class of 2023 Adjusted to 2022 High School Income Designations by Minority Levels</t>
  </si>
  <si>
    <t>2023 Adjusted</t>
  </si>
  <si>
    <t>2024 Adjusted</t>
  </si>
  <si>
    <t>Table 85a. College Enrollment Rates in the First Fall after High School Graduation for Class of 2024 and Class of 2024 Adjusted to 2023 High School Income Designations</t>
  </si>
  <si>
    <t>Table 86a. College Enrollment Rates in the First Year after High School Graduation for Class of 2023 and Class of 2023 Adjusted to 2022 High School Income Designations</t>
  </si>
  <si>
    <t>Table 85b. College Enrollment Rates in the First Fall after High School Graduation for Class of 2024 and Class of 2024 Adjusted to 2023 High School Income Designations</t>
  </si>
  <si>
    <t>Table 86b. College Enrollment Rates in the First Year after High School Graduation for Class of 2023 and Class of 2023 Adjusted to 2022 High School Income Designations</t>
  </si>
  <si>
    <t>High-Poverty Schools</t>
  </si>
  <si>
    <t>Low-Poverty Schools</t>
  </si>
  <si>
    <t>Low-Income Schools</t>
  </si>
  <si>
    <t>Higher-Income Schools</t>
  </si>
  <si>
    <t>High-Minority High Schools</t>
  </si>
  <si>
    <t>Low-Minority High Schools</t>
  </si>
  <si>
    <t>Low-Income High Schools</t>
  </si>
  <si>
    <t>Higher-Income High Schools</t>
  </si>
  <si>
    <t>High-Poverty High Schools</t>
  </si>
  <si>
    <t>Low-Poverty High Schools</t>
  </si>
  <si>
    <t>High-Poverty HS</t>
  </si>
  <si>
    <t>Low-Poverty HS</t>
  </si>
  <si>
    <t>Low-Income HS</t>
  </si>
  <si>
    <t>Higher-Income HS</t>
  </si>
  <si>
    <t>High-Minority HS</t>
  </si>
  <si>
    <t>Low-Minority HS</t>
  </si>
  <si>
    <t>9 Income Trend Adjustment</t>
  </si>
  <si>
    <t>10 Poverty Trend Adjustment</t>
  </si>
  <si>
    <t xml:space="preserve">Income Level Designation Changes, First Fall and First Year Enrollment </t>
  </si>
  <si>
    <t xml:space="preserve">Poverty Level Designation Changes, First Fall and First Year Enrollment </t>
  </si>
  <si>
    <t>September 2025</t>
  </si>
  <si>
    <t>Table 12. Six-Year STEM Completers by Field of Study, Class of 2018</t>
  </si>
  <si>
    <t>*</t>
  </si>
  <si>
    <t>* Data are suppressed (*) when grade 12 coverage is under 10%, there are fewer than 3 schools, or fewer than 30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</si>
</sst>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sz val="11"/>
      <color rgb="FF000000"/>
      <name val="Aptos Narrow"/>
      <family val="2"/>
      <scheme val="minor"/>
    </font>
    <font>
      <b/>
      <sz val="11"/>
      <name val="Aptos Narrow"/>
      <family val="2"/>
      <scheme val="minor"/>
    </font>
    <font>
      <sz val="14"/>
      <color theme="1"/>
      <name val="Aptos Narrow"/>
      <family val="2"/>
      <scheme val="minor"/>
    </font>
    <font>
      <b/>
      <sz val="14"/>
      <color theme="1"/>
      <name val="Aptos Narrow"/>
      <family val="2"/>
      <scheme val="minor"/>
    </font>
    <font>
      <b/>
      <i/>
      <sz val="11"/>
      <color theme="1"/>
      <name val="Aptos Narrow"/>
      <family val="2"/>
      <scheme val="minor"/>
    </font>
    <font>
      <sz val="11"/>
      <color rgb="FF000000"/>
      <name val="Aptos Narrow"/>
      <family val="2"/>
    </font>
    <font>
      <b/>
      <sz val="16"/>
      <color rgb="FF000000"/>
      <name val="Aptos Narrow"/>
      <family val="2"/>
      <scheme val="minor"/>
    </font>
    <font>
      <sz val="22"/>
      <color rgb="FF000000"/>
      <name val="Aptos Narrow"/>
      <family val="2"/>
      <scheme val="minor"/>
    </font>
    <font>
      <sz val="14"/>
      <color rgb="FF000000"/>
      <name val="Aptos Narrow"/>
      <family val="2"/>
      <scheme val="minor"/>
    </font>
    <font>
      <b/>
      <sz val="11"/>
      <color rgb="FF000000"/>
      <name val="Aptos Narrow"/>
      <family val="2"/>
      <scheme val="minor"/>
    </font>
    <font>
      <i/>
      <sz val="10"/>
      <color theme="1"/>
      <name val="Aptos Narrow"/>
      <family val="2"/>
      <scheme val="minor"/>
    </font>
  </fonts>
  <fills count="3">
    <fill>
      <patternFill patternType="none"/>
    </fill>
    <fill>
      <patternFill patternType="gray125"/>
    </fill>
    <fill>
      <patternFill patternType="solid">
        <fgColor theme="2"/>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3" fillId="0" borderId="0" xfId="0" applyFont="1"/>
    <xf numFmtId="0" fontId="2" fillId="0" borderId="0" xfId="0" applyFont="1"/>
    <xf numFmtId="0" fontId="2" fillId="0" borderId="1" xfId="0" applyFont="1" applyBorder="1"/>
    <xf numFmtId="0" fontId="0" fillId="0" borderId="1" xfId="0" applyBorder="1"/>
    <xf numFmtId="0" fontId="0" fillId="0" borderId="2" xfId="0" applyBorder="1"/>
    <xf numFmtId="0" fontId="4" fillId="0" borderId="2" xfId="0" quotePrefix="1" applyFont="1" applyBorder="1" applyAlignment="1">
      <alignment horizontal="center"/>
    </xf>
    <xf numFmtId="0" fontId="4" fillId="0" borderId="3"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6" xfId="0" quotePrefix="1" applyFont="1" applyBorder="1" applyAlignment="1">
      <alignment horizontal="left" vertical="top"/>
    </xf>
    <xf numFmtId="164" fontId="4" fillId="0" borderId="6" xfId="0" applyNumberFormat="1" applyFont="1" applyBorder="1" applyAlignment="1">
      <alignment vertical="center"/>
    </xf>
    <xf numFmtId="164" fontId="4" fillId="0" borderId="7" xfId="0" applyNumberFormat="1" applyFont="1" applyBorder="1" applyAlignment="1">
      <alignment vertical="center"/>
    </xf>
    <xf numFmtId="164" fontId="4" fillId="0" borderId="4" xfId="0" applyNumberFormat="1" applyFont="1" applyBorder="1" applyAlignment="1">
      <alignment vertical="center"/>
    </xf>
    <xf numFmtId="164" fontId="4" fillId="0" borderId="8" xfId="0" applyNumberFormat="1" applyFont="1" applyBorder="1" applyAlignment="1">
      <alignment vertical="center"/>
    </xf>
    <xf numFmtId="3" fontId="4" fillId="0" borderId="6" xfId="0" applyNumberFormat="1" applyFont="1" applyBorder="1" applyAlignment="1">
      <alignment vertical="center"/>
    </xf>
    <xf numFmtId="3" fontId="4" fillId="0" borderId="7" xfId="0" applyNumberFormat="1" applyFont="1" applyBorder="1" applyAlignment="1">
      <alignment vertical="center"/>
    </xf>
    <xf numFmtId="3" fontId="4" fillId="0" borderId="4" xfId="0" applyNumberFormat="1" applyFont="1" applyBorder="1" applyAlignment="1">
      <alignment vertical="center"/>
    </xf>
    <xf numFmtId="3" fontId="4" fillId="0" borderId="8" xfId="0" applyNumberFormat="1" applyFont="1" applyBorder="1" applyAlignment="1">
      <alignment vertical="center"/>
    </xf>
    <xf numFmtId="3" fontId="4" fillId="0" borderId="2" xfId="0" applyNumberFormat="1" applyFont="1" applyBorder="1" applyAlignment="1">
      <alignment vertical="center"/>
    </xf>
    <xf numFmtId="0" fontId="5" fillId="0" borderId="1" xfId="0" applyFont="1" applyBorder="1"/>
    <xf numFmtId="0" fontId="0" fillId="0" borderId="2" xfId="0" applyBorder="1" applyAlignment="1">
      <alignment wrapText="1"/>
    </xf>
    <xf numFmtId="0" fontId="4" fillId="0" borderId="2" xfId="0" quotePrefix="1" applyFont="1" applyBorder="1" applyAlignment="1">
      <alignment horizontal="center" wrapText="1"/>
    </xf>
    <xf numFmtId="0" fontId="4" fillId="0" borderId="3" xfId="0" quotePrefix="1" applyFont="1" applyBorder="1" applyAlignment="1">
      <alignment horizontal="center" wrapText="1"/>
    </xf>
    <xf numFmtId="0" fontId="4" fillId="0" borderId="4" xfId="0" quotePrefix="1" applyFont="1" applyBorder="1" applyAlignment="1">
      <alignment horizontal="center" wrapText="1"/>
    </xf>
    <xf numFmtId="0" fontId="4" fillId="0" borderId="5" xfId="0" quotePrefix="1" applyFont="1" applyBorder="1" applyAlignment="1">
      <alignment horizontal="center" wrapText="1"/>
    </xf>
    <xf numFmtId="0" fontId="4" fillId="0" borderId="0" xfId="0" quotePrefix="1" applyFont="1" applyAlignment="1">
      <alignment horizontal="center" wrapText="1"/>
    </xf>
    <xf numFmtId="0" fontId="0" fillId="0" borderId="0" xfId="0" applyAlignment="1">
      <alignment wrapText="1"/>
    </xf>
    <xf numFmtId="164" fontId="4" fillId="0" borderId="0" xfId="0" applyNumberFormat="1" applyFont="1" applyAlignment="1">
      <alignment vertical="center"/>
    </xf>
    <xf numFmtId="3" fontId="4" fillId="0" borderId="0" xfId="0" applyNumberFormat="1" applyFont="1" applyAlignment="1">
      <alignment vertical="center"/>
    </xf>
    <xf numFmtId="0" fontId="0" fillId="0" borderId="0" xfId="0" applyAlignment="1">
      <alignment horizontal="center"/>
    </xf>
    <xf numFmtId="0" fontId="2" fillId="0" borderId="2" xfId="0" applyFont="1" applyBorder="1"/>
    <xf numFmtId="0" fontId="2" fillId="0" borderId="2" xfId="0" applyFont="1" applyBorder="1" applyAlignment="1">
      <alignment horizontal="center" vertical="center"/>
    </xf>
    <xf numFmtId="0" fontId="2" fillId="0" borderId="2" xfId="0" applyFont="1" applyBorder="1" applyAlignment="1">
      <alignment horizontal="center"/>
    </xf>
    <xf numFmtId="0" fontId="4" fillId="2" borderId="6" xfId="0" quotePrefix="1" applyFont="1" applyFill="1" applyBorder="1" applyAlignment="1">
      <alignment horizontal="left" vertical="top"/>
    </xf>
    <xf numFmtId="164" fontId="4" fillId="2" borderId="6" xfId="0" applyNumberFormat="1" applyFont="1" applyFill="1" applyBorder="1" applyAlignment="1">
      <alignment horizontal="right" vertical="center"/>
    </xf>
    <xf numFmtId="164" fontId="0" fillId="0" borderId="0" xfId="0" applyNumberFormat="1"/>
    <xf numFmtId="164" fontId="4" fillId="0" borderId="6" xfId="0" applyNumberFormat="1" applyFont="1" applyBorder="1" applyAlignment="1">
      <alignment horizontal="right" vertical="center"/>
    </xf>
    <xf numFmtId="0" fontId="0" fillId="0" borderId="1" xfId="0" applyBorder="1" applyAlignment="1">
      <alignment horizont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164" fontId="9" fillId="0" borderId="0" xfId="0" applyNumberFormat="1" applyFont="1" applyAlignment="1">
      <alignment vertical="center"/>
    </xf>
    <xf numFmtId="3" fontId="9" fillId="0" borderId="0" xfId="0" applyNumberFormat="1" applyFont="1" applyAlignment="1">
      <alignment vertical="center"/>
    </xf>
    <xf numFmtId="3" fontId="9" fillId="0" borderId="1" xfId="0" applyNumberFormat="1" applyFont="1" applyBorder="1" applyAlignment="1">
      <alignment vertical="center"/>
    </xf>
    <xf numFmtId="164" fontId="9" fillId="0" borderId="6" xfId="0" applyNumberFormat="1" applyFont="1" applyBorder="1" applyAlignment="1">
      <alignment vertical="center"/>
    </xf>
    <xf numFmtId="3" fontId="9" fillId="0" borderId="6" xfId="0" applyNumberFormat="1" applyFont="1" applyBorder="1" applyAlignment="1">
      <alignment vertical="center"/>
    </xf>
    <xf numFmtId="1" fontId="10" fillId="0" borderId="0" xfId="0" applyNumberFormat="1" applyFont="1" applyAlignment="1">
      <alignment vertical="center"/>
    </xf>
    <xf numFmtId="1" fontId="11" fillId="0" borderId="0" xfId="0" applyNumberFormat="1" applyFont="1" applyAlignment="1">
      <alignment vertical="center"/>
    </xf>
    <xf numFmtId="1" fontId="12" fillId="0" borderId="0" xfId="0" applyNumberFormat="1" applyFont="1" applyAlignment="1">
      <alignment vertical="center"/>
    </xf>
    <xf numFmtId="1" fontId="4" fillId="0" borderId="0" xfId="0" applyNumberFormat="1" applyFont="1" applyAlignment="1">
      <alignment horizontal="center" vertical="center"/>
    </xf>
    <xf numFmtId="1" fontId="4" fillId="0" borderId="0" xfId="0" applyNumberFormat="1" applyFont="1" applyAlignment="1">
      <alignment vertical="center"/>
    </xf>
    <xf numFmtId="3" fontId="0" fillId="0" borderId="0" xfId="0" applyNumberFormat="1"/>
    <xf numFmtId="0" fontId="0" fillId="0" borderId="6" xfId="0" applyBorder="1" applyAlignment="1">
      <alignment vertical="top" wrapText="1"/>
    </xf>
    <xf numFmtId="3" fontId="0" fillId="0" borderId="6" xfId="0" applyNumberFormat="1" applyBorder="1" applyAlignment="1">
      <alignment vertical="center" wrapText="1"/>
    </xf>
    <xf numFmtId="0" fontId="0" fillId="0" borderId="6" xfId="0" applyBorder="1" applyAlignment="1">
      <alignment vertical="center" wrapText="1"/>
    </xf>
    <xf numFmtId="1" fontId="13" fillId="0" borderId="6" xfId="0" applyNumberFormat="1" applyFont="1" applyBorder="1" applyAlignment="1">
      <alignment horizontal="center" vertical="center" wrapText="1"/>
    </xf>
    <xf numFmtId="164" fontId="0" fillId="0" borderId="6" xfId="1" applyNumberFormat="1" applyFont="1" applyBorder="1" applyAlignment="1">
      <alignment vertical="center" wrapText="1"/>
    </xf>
    <xf numFmtId="0" fontId="4" fillId="0" borderId="0" xfId="0" applyFont="1"/>
    <xf numFmtId="0" fontId="2" fillId="0" borderId="0" xfId="0" applyFont="1" applyAlignment="1">
      <alignment vertical="center"/>
    </xf>
    <xf numFmtId="3" fontId="4" fillId="0" borderId="6" xfId="0" applyNumberFormat="1" applyFont="1" applyBorder="1" applyAlignment="1">
      <alignment horizontal="right" vertical="center" wrapText="1"/>
    </xf>
    <xf numFmtId="3" fontId="0" fillId="0" borderId="6" xfId="0" applyNumberFormat="1" applyBorder="1" applyAlignment="1">
      <alignment horizontal="right" vertical="center" wrapText="1"/>
    </xf>
    <xf numFmtId="164" fontId="0" fillId="0" borderId="6" xfId="1" applyNumberFormat="1" applyFont="1" applyBorder="1" applyAlignment="1">
      <alignment horizontal="right" vertical="center" wrapText="1"/>
    </xf>
    <xf numFmtId="165" fontId="9" fillId="0" borderId="6" xfId="0" applyNumberFormat="1" applyFont="1" applyBorder="1" applyAlignment="1">
      <alignment vertical="center"/>
    </xf>
    <xf numFmtId="0" fontId="0" fillId="0" borderId="6" xfId="0" applyBorder="1"/>
    <xf numFmtId="0" fontId="0" fillId="0" borderId="6" xfId="0" applyBorder="1" applyAlignment="1">
      <alignment wrapText="1"/>
    </xf>
    <xf numFmtId="164" fontId="4" fillId="0" borderId="6" xfId="1" applyNumberFormat="1" applyFont="1" applyFill="1" applyBorder="1" applyAlignment="1">
      <alignment horizontal="right" vertical="center" wrapText="1"/>
    </xf>
    <xf numFmtId="1" fontId="13" fillId="0" borderId="0" xfId="0" applyNumberFormat="1" applyFont="1" applyAlignment="1">
      <alignment horizontal="center" vertical="center" wrapText="1"/>
    </xf>
    <xf numFmtId="3" fontId="4" fillId="0" borderId="0" xfId="0" applyNumberFormat="1" applyFont="1" applyAlignment="1">
      <alignment horizontal="right" vertical="center" wrapText="1"/>
    </xf>
    <xf numFmtId="164" fontId="4" fillId="0" borderId="0" xfId="1" applyNumberFormat="1" applyFont="1" applyFill="1" applyBorder="1" applyAlignment="1">
      <alignment horizontal="right" vertical="center" wrapText="1"/>
    </xf>
    <xf numFmtId="164" fontId="4" fillId="0" borderId="0" xfId="1" applyNumberFormat="1" applyFont="1" applyAlignment="1">
      <alignment horizontal="right" vertical="center" wrapText="1"/>
    </xf>
    <xf numFmtId="165" fontId="4" fillId="0" borderId="6" xfId="0" applyNumberFormat="1" applyFont="1" applyBorder="1" applyAlignment="1">
      <alignment vertical="center"/>
    </xf>
    <xf numFmtId="1" fontId="13" fillId="0" borderId="7" xfId="0" applyNumberFormat="1" applyFont="1" applyBorder="1" applyAlignment="1">
      <alignment horizontal="center" vertical="center" wrapText="1"/>
    </xf>
    <xf numFmtId="0" fontId="5" fillId="0" borderId="0" xfId="0" applyFont="1"/>
    <xf numFmtId="0" fontId="4" fillId="0" borderId="6" xfId="0" quotePrefix="1" applyFont="1" applyBorder="1" applyAlignment="1">
      <alignment horizontal="center" wrapText="1"/>
    </xf>
    <xf numFmtId="164" fontId="4" fillId="0" borderId="10" xfId="0" applyNumberFormat="1" applyFont="1" applyBorder="1" applyAlignment="1">
      <alignment vertical="center"/>
    </xf>
    <xf numFmtId="3" fontId="4" fillId="0" borderId="10" xfId="0" applyNumberFormat="1" applyFont="1" applyBorder="1" applyAlignment="1">
      <alignment vertical="center"/>
    </xf>
    <xf numFmtId="0" fontId="5" fillId="0" borderId="6" xfId="0" applyFont="1" applyBorder="1"/>
    <xf numFmtId="0" fontId="13" fillId="0" borderId="6" xfId="0" quotePrefix="1" applyFont="1" applyBorder="1" applyAlignment="1">
      <alignment horizontal="left" vertical="top"/>
    </xf>
    <xf numFmtId="3" fontId="4" fillId="2" borderId="6" xfId="0" quotePrefix="1" applyNumberFormat="1" applyFont="1" applyFill="1" applyBorder="1" applyAlignment="1">
      <alignment horizontal="right" vertical="top"/>
    </xf>
    <xf numFmtId="3" fontId="4" fillId="0" borderId="6" xfId="0" quotePrefix="1" applyNumberFormat="1" applyFont="1" applyBorder="1" applyAlignment="1">
      <alignment horizontal="right" vertical="top"/>
    </xf>
    <xf numFmtId="1" fontId="13" fillId="0" borderId="6" xfId="0" quotePrefix="1" applyNumberFormat="1" applyFont="1" applyBorder="1" applyAlignment="1">
      <alignment horizontal="center" vertical="center" wrapText="1"/>
    </xf>
    <xf numFmtId="1" fontId="10" fillId="0" borderId="0" xfId="0" quotePrefix="1" applyNumberFormat="1" applyFont="1" applyAlignment="1">
      <alignment horizontal="left" vertical="center"/>
    </xf>
    <xf numFmtId="0" fontId="4" fillId="0" borderId="2" xfId="0" quotePrefix="1" applyFont="1" applyBorder="1" applyAlignment="1">
      <alignment horizontal="left" wrapText="1"/>
    </xf>
    <xf numFmtId="0" fontId="4" fillId="0" borderId="3" xfId="0" quotePrefix="1" applyFont="1" applyBorder="1" applyAlignment="1">
      <alignment horizontal="left" wrapText="1"/>
    </xf>
    <xf numFmtId="0" fontId="4" fillId="0" borderId="5" xfId="0" quotePrefix="1" applyFont="1" applyBorder="1" applyAlignment="1">
      <alignment horizontal="left" wrapText="1"/>
    </xf>
    <xf numFmtId="1" fontId="0" fillId="0" borderId="2" xfId="0" applyNumberForma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7" xfId="0" quotePrefix="1" applyFont="1" applyBorder="1" applyAlignment="1">
      <alignment horizontal="left" vertical="center"/>
    </xf>
    <xf numFmtId="0" fontId="2" fillId="0" borderId="7"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4" fillId="0" borderId="6" xfId="0" quotePrefix="1" applyFont="1" applyBorder="1" applyAlignment="1">
      <alignment horizontal="left" vertical="top"/>
    </xf>
    <xf numFmtId="0" fontId="0" fillId="0" borderId="6" xfId="0" applyBorder="1"/>
    <xf numFmtId="0" fontId="4" fillId="0" borderId="7" xfId="0" quotePrefix="1" applyFont="1" applyBorder="1" applyAlignment="1">
      <alignment horizontal="left" vertical="top" wrapText="1"/>
    </xf>
    <xf numFmtId="0" fontId="0" fillId="0" borderId="7" xfId="0" applyBorder="1" applyAlignment="1">
      <alignment wrapText="1"/>
    </xf>
    <xf numFmtId="0" fontId="4" fillId="0" borderId="6" xfId="0" quotePrefix="1" applyFont="1" applyBorder="1" applyAlignment="1">
      <alignment horizontal="left" vertical="top" wrapText="1"/>
    </xf>
    <xf numFmtId="0" fontId="0" fillId="0" borderId="6" xfId="0" applyBorder="1" applyAlignment="1">
      <alignment wrapText="1"/>
    </xf>
    <xf numFmtId="0" fontId="4" fillId="0" borderId="9" xfId="0" quotePrefix="1" applyFont="1" applyBorder="1" applyAlignment="1">
      <alignment horizontal="left" vertical="top" wrapText="1"/>
    </xf>
    <xf numFmtId="0" fontId="4" fillId="0" borderId="2" xfId="0" quotePrefix="1" applyFont="1" applyBorder="1" applyAlignment="1">
      <alignment horizontal="left" vertical="top" wrapText="1"/>
    </xf>
    <xf numFmtId="0" fontId="6" fillId="0" borderId="0" xfId="0" applyFont="1" applyAlignment="1">
      <alignment horizontal="center"/>
    </xf>
    <xf numFmtId="0" fontId="4" fillId="2" borderId="6" xfId="0" quotePrefix="1" applyFont="1" applyFill="1" applyBorder="1" applyAlignment="1">
      <alignment horizontal="left" vertical="top"/>
    </xf>
    <xf numFmtId="0" fontId="0" fillId="2" borderId="6" xfId="0" applyFill="1" applyBorder="1"/>
    <xf numFmtId="1" fontId="12" fillId="0" borderId="0" xfId="0" quotePrefix="1" applyNumberFormat="1" applyFont="1" applyAlignment="1">
      <alignment horizontal="center" vertical="center"/>
    </xf>
    <xf numFmtId="1" fontId="12" fillId="0" borderId="0" xfId="0" applyNumberFormat="1" applyFont="1" applyAlignment="1">
      <alignment horizontal="center" vertical="center"/>
    </xf>
    <xf numFmtId="0" fontId="2" fillId="0" borderId="0" xfId="0" quotePrefix="1" applyFont="1" applyAlignment="1">
      <alignment horizontal="left" vertical="center" wrapText="1"/>
    </xf>
    <xf numFmtId="0" fontId="2" fillId="0" borderId="0" xfId="0" applyFont="1" applyAlignment="1">
      <alignment horizontal="left" vertical="center" wrapText="1"/>
    </xf>
    <xf numFmtId="0" fontId="5" fillId="0" borderId="7" xfId="0" quotePrefix="1" applyFont="1" applyBorder="1" applyAlignment="1">
      <alignment horizontal="center"/>
    </xf>
    <xf numFmtId="0" fontId="5" fillId="0" borderId="8" xfId="0" applyFont="1" applyBorder="1" applyAlignment="1">
      <alignment horizontal="center"/>
    </xf>
    <xf numFmtId="0" fontId="4" fillId="0" borderId="9" xfId="0" quotePrefix="1" applyFont="1" applyBorder="1" applyAlignment="1">
      <alignment horizontal="left" vertical="top"/>
    </xf>
    <xf numFmtId="0" fontId="4" fillId="0" borderId="2" xfId="0" quotePrefix="1" applyFont="1" applyBorder="1" applyAlignment="1">
      <alignment horizontal="left" vertical="top"/>
    </xf>
    <xf numFmtId="0" fontId="5" fillId="0" borderId="11" xfId="0" applyFont="1" applyBorder="1" applyAlignment="1">
      <alignment horizontal="center"/>
    </xf>
    <xf numFmtId="0" fontId="6" fillId="0" borderId="0" xfId="0" quotePrefix="1" applyFont="1" applyAlignment="1">
      <alignment horizontal="center"/>
    </xf>
    <xf numFmtId="0" fontId="5" fillId="0" borderId="1" xfId="0" quotePrefix="1" applyFont="1" applyBorder="1" applyAlignment="1">
      <alignment horizontal="left"/>
    </xf>
    <xf numFmtId="3" fontId="0" fillId="0" borderId="6" xfId="0" applyNumberFormat="1" applyBorder="1" applyAlignment="1">
      <alignment horizontal="center" vertical="center" wrapText="1"/>
    </xf>
    <xf numFmtId="164" fontId="0" fillId="0" borderId="6" xfId="1" applyNumberFormat="1" applyFont="1" applyBorder="1" applyAlignment="1">
      <alignment horizontal="center" vertical="center" wrapText="1"/>
    </xf>
    <xf numFmtId="165" fontId="4" fillId="0" borderId="6" xfId="0" applyNumberFormat="1" applyFont="1" applyBorder="1" applyAlignment="1">
      <alignment horizontal="center" vertical="center"/>
    </xf>
    <xf numFmtId="0" fontId="14" fillId="0" borderId="0" xfId="0" quotePrefix="1" applyFont="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10395387323573"/>
          <c:y val="3.9007529729678886E-2"/>
          <c:w val="0.86844490824189147"/>
          <c:h val="0.80241693865502839"/>
        </c:manualLayout>
      </c:layout>
      <c:barChart>
        <c:barDir val="col"/>
        <c:grouping val="stacked"/>
        <c:varyColors val="0"/>
        <c:ser>
          <c:idx val="2"/>
          <c:order val="0"/>
          <c:tx>
            <c:strRef>
              <c:f>'6 Public Non-Charter Urbanicity'!$Q$10</c:f>
              <c:strCache>
                <c:ptCount val="1"/>
                <c:pt idx="0">
                  <c:v>Public</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 Public Non-Charter Urbanicity'!$A$11:$A$13</c:f>
              <c:numCache>
                <c:formatCode>0</c:formatCode>
                <c:ptCount val="3"/>
                <c:pt idx="0">
                  <c:v>2023</c:v>
                </c:pt>
                <c:pt idx="1">
                  <c:v>2024</c:v>
                </c:pt>
              </c:numCache>
            </c:numRef>
          </c:cat>
          <c:val>
            <c:numRef>
              <c:f>'6 Public Non-Charter Urbanicity'!$AD$11:$AD$12</c:f>
              <c:numCache>
                <c:formatCode>0.0%</c:formatCode>
                <c:ptCount val="2"/>
                <c:pt idx="0">
                  <c:v>0.44500000000000001</c:v>
                </c:pt>
                <c:pt idx="1">
                  <c:v>0.443</c:v>
                </c:pt>
              </c:numCache>
            </c:numRef>
          </c:val>
          <c:extLst>
            <c:ext xmlns:c16="http://schemas.microsoft.com/office/drawing/2014/chart" uri="{C3380CC4-5D6E-409C-BE32-E72D297353CC}">
              <c16:uniqueId val="{00000000-2CC3-4541-B72E-E0389EEC62BF}"/>
            </c:ext>
          </c:extLst>
        </c:ser>
        <c:ser>
          <c:idx val="3"/>
          <c:order val="1"/>
          <c:tx>
            <c:strRef>
              <c:f>'6 Public Non-Charter Urbanicity'!$E$10</c:f>
              <c:strCache>
                <c:ptCount val="1"/>
                <c:pt idx="0">
                  <c:v>Private</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 Public Non-Charter Urbanicity'!$A$11:$A$13</c:f>
              <c:numCache>
                <c:formatCode>0</c:formatCode>
                <c:ptCount val="3"/>
                <c:pt idx="0">
                  <c:v>2023</c:v>
                </c:pt>
                <c:pt idx="1">
                  <c:v>2024</c:v>
                </c:pt>
              </c:numCache>
            </c:numRef>
          </c:cat>
          <c:val>
            <c:numRef>
              <c:f>'6 Public Non-Charter Urbanicity'!$AE$11:$AE$12</c:f>
              <c:numCache>
                <c:formatCode>0.0%</c:formatCode>
                <c:ptCount val="2"/>
                <c:pt idx="0">
                  <c:v>9.8000000000000004E-2</c:v>
                </c:pt>
                <c:pt idx="1">
                  <c:v>8.8999999999999996E-2</c:v>
                </c:pt>
              </c:numCache>
            </c:numRef>
          </c:val>
          <c:extLst>
            <c:ext xmlns:c16="http://schemas.microsoft.com/office/drawing/2014/chart" uri="{C3380CC4-5D6E-409C-BE32-E72D297353CC}">
              <c16:uniqueId val="{00000001-2CC3-4541-B72E-E0389EEC62BF}"/>
            </c:ext>
          </c:extLst>
        </c:ser>
        <c:ser>
          <c:idx val="0"/>
          <c:order val="2"/>
          <c:tx>
            <c:strRef>
              <c:f>'6 Public Non-Charter Urbanicity'!$F$10</c:f>
              <c:strCache>
                <c:ptCount val="1"/>
                <c:pt idx="0">
                  <c:v>Two-year</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2CC3-4541-B72E-E0389EEC62B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 Public Non-Charter Urbanicity'!$A$11:$A$13</c:f>
              <c:numCache>
                <c:formatCode>0</c:formatCode>
                <c:ptCount val="3"/>
                <c:pt idx="0">
                  <c:v>2023</c:v>
                </c:pt>
                <c:pt idx="1">
                  <c:v>2024</c:v>
                </c:pt>
              </c:numCache>
            </c:numRef>
          </c:cat>
          <c:val>
            <c:numRef>
              <c:f>'6 Public Non-Charter Urbanicity'!$AF$8:$AF$12</c:f>
              <c:numCache>
                <c:formatCode>General</c:formatCode>
                <c:ptCount val="5"/>
                <c:pt idx="2">
                  <c:v>0</c:v>
                </c:pt>
                <c:pt idx="3" formatCode="0.0%">
                  <c:v>0.16700000000000001</c:v>
                </c:pt>
                <c:pt idx="4" formatCode="0.0%">
                  <c:v>0.17199999999999999</c:v>
                </c:pt>
              </c:numCache>
            </c:numRef>
          </c:val>
          <c:extLst>
            <c:ext xmlns:c16="http://schemas.microsoft.com/office/drawing/2014/chart" uri="{C3380CC4-5D6E-409C-BE32-E72D297353CC}">
              <c16:uniqueId val="{00000003-2CC3-4541-B72E-E0389EEC62BF}"/>
            </c:ext>
          </c:extLst>
        </c:ser>
        <c:ser>
          <c:idx val="1"/>
          <c:order val="3"/>
          <c:tx>
            <c:strRef>
              <c:f>'6 Public Non-Charter Urbanicity'!$G$10</c:f>
              <c:strCache>
                <c:ptCount val="1"/>
                <c:pt idx="0">
                  <c:v>Four-year</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4-2CC3-4541-B72E-E0389EEC62B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 Public Non-Charter Urbanicity'!$A$11:$A$13</c:f>
              <c:numCache>
                <c:formatCode>0</c:formatCode>
                <c:ptCount val="3"/>
                <c:pt idx="0">
                  <c:v>2023</c:v>
                </c:pt>
                <c:pt idx="1">
                  <c:v>2024</c:v>
                </c:pt>
              </c:numCache>
            </c:numRef>
          </c:cat>
          <c:val>
            <c:numRef>
              <c:f>'6 Public Non-Charter Urbanicity'!$AG$8:$AG$12</c:f>
              <c:numCache>
                <c:formatCode>General</c:formatCode>
                <c:ptCount val="5"/>
                <c:pt idx="2">
                  <c:v>0</c:v>
                </c:pt>
                <c:pt idx="3" formatCode="0.0%">
                  <c:v>0.376</c:v>
                </c:pt>
                <c:pt idx="4" formatCode="0.0%">
                  <c:v>0.36099999999999999</c:v>
                </c:pt>
              </c:numCache>
            </c:numRef>
          </c:val>
          <c:extLst>
            <c:ext xmlns:c16="http://schemas.microsoft.com/office/drawing/2014/chart" uri="{C3380CC4-5D6E-409C-BE32-E72D297353CC}">
              <c16:uniqueId val="{00000005-2CC3-4541-B72E-E0389EEC62BF}"/>
            </c:ext>
          </c:extLst>
        </c:ser>
        <c:ser>
          <c:idx val="4"/>
          <c:order val="4"/>
          <c:tx>
            <c:strRef>
              <c:f>'6 Public Non-Charter Urbanicity'!$H$10</c:f>
              <c:strCache>
                <c:ptCount val="1"/>
                <c:pt idx="0">
                  <c:v>In-state</c:v>
                </c:pt>
              </c:strCache>
            </c:strRef>
          </c:tx>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6-2CC3-4541-B72E-E0389EEC62B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 Public Non-Charter Urbanicity'!$A$11:$A$13</c:f>
              <c:numCache>
                <c:formatCode>0</c:formatCode>
                <c:ptCount val="3"/>
                <c:pt idx="0">
                  <c:v>2023</c:v>
                </c:pt>
                <c:pt idx="1">
                  <c:v>2024</c:v>
                </c:pt>
              </c:numCache>
            </c:numRef>
          </c:cat>
          <c:val>
            <c:numRef>
              <c:f>'6 Public Non-Charter Urbanicity'!$AH$5:$AH$12</c:f>
              <c:numCache>
                <c:formatCode>General</c:formatCode>
                <c:ptCount val="8"/>
                <c:pt idx="5">
                  <c:v>0</c:v>
                </c:pt>
                <c:pt idx="6" formatCode="0.0%">
                  <c:v>0.439</c:v>
                </c:pt>
                <c:pt idx="7" formatCode="0.0%">
                  <c:v>0.436</c:v>
                </c:pt>
              </c:numCache>
            </c:numRef>
          </c:val>
          <c:extLst>
            <c:ext xmlns:c16="http://schemas.microsoft.com/office/drawing/2014/chart" uri="{C3380CC4-5D6E-409C-BE32-E72D297353CC}">
              <c16:uniqueId val="{00000007-2CC3-4541-B72E-E0389EEC62BF}"/>
            </c:ext>
          </c:extLst>
        </c:ser>
        <c:ser>
          <c:idx val="5"/>
          <c:order val="5"/>
          <c:tx>
            <c:strRef>
              <c:f>'6 Public Non-Charter Urbanicity'!$I$10</c:f>
              <c:strCache>
                <c:ptCount val="1"/>
                <c:pt idx="0">
                  <c:v>Out-of-state</c:v>
                </c:pt>
              </c:strCache>
            </c:strRef>
          </c:tx>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8-2CC3-4541-B72E-E0389EEC62B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 Public Non-Charter Urbanicity'!$A$11:$A$13</c:f>
              <c:numCache>
                <c:formatCode>0</c:formatCode>
                <c:ptCount val="3"/>
                <c:pt idx="0">
                  <c:v>2023</c:v>
                </c:pt>
                <c:pt idx="1">
                  <c:v>2024</c:v>
                </c:pt>
              </c:numCache>
            </c:numRef>
          </c:cat>
          <c:val>
            <c:numRef>
              <c:f>'6 Public Non-Charter Urbanicity'!$AI$5:$AI$12</c:f>
              <c:numCache>
                <c:formatCode>General</c:formatCode>
                <c:ptCount val="8"/>
                <c:pt idx="5">
                  <c:v>0</c:v>
                </c:pt>
                <c:pt idx="6" formatCode="0.0%">
                  <c:v>0.104</c:v>
                </c:pt>
                <c:pt idx="7" formatCode="0.0%">
                  <c:v>9.7000000000000003E-2</c:v>
                </c:pt>
              </c:numCache>
            </c:numRef>
          </c:val>
          <c:extLst>
            <c:ext xmlns:c16="http://schemas.microsoft.com/office/drawing/2014/chart" uri="{C3380CC4-5D6E-409C-BE32-E72D297353CC}">
              <c16:uniqueId val="{00000009-2CC3-4541-B72E-E0389EEC62BF}"/>
            </c:ext>
          </c:extLst>
        </c:ser>
        <c:dLbls>
          <c:dLblPos val="ctr"/>
          <c:showLegendKey val="0"/>
          <c:showVal val="1"/>
          <c:showCatName val="0"/>
          <c:showSerName val="0"/>
          <c:showPercent val="0"/>
          <c:showBubbleSize val="0"/>
        </c:dLbls>
        <c:gapWidth val="35"/>
        <c:overlap val="100"/>
        <c:axId val="500272368"/>
        <c:axId val="500269624"/>
      </c:barChart>
      <c:catAx>
        <c:axId val="500272368"/>
        <c:scaling>
          <c:orientation val="minMax"/>
        </c:scaling>
        <c:delete val="0"/>
        <c:axPos val="b"/>
        <c:numFmt formatCode="0" sourceLinked="1"/>
        <c:majorTickMark val="none"/>
        <c:minorTickMark val="none"/>
        <c:tickLblPos val="nextTo"/>
        <c:crossAx val="500269624"/>
        <c:crosses val="autoZero"/>
        <c:auto val="1"/>
        <c:lblAlgn val="ctr"/>
        <c:lblOffset val="100"/>
        <c:noMultiLvlLbl val="0"/>
      </c:catAx>
      <c:valAx>
        <c:axId val="500269624"/>
        <c:scaling>
          <c:orientation val="minMax"/>
          <c:max val="1"/>
        </c:scaling>
        <c:delete val="0"/>
        <c:axPos val="l"/>
        <c:majorGridlines/>
        <c:numFmt formatCode="0%" sourceLinked="0"/>
        <c:majorTickMark val="none"/>
        <c:minorTickMark val="none"/>
        <c:tickLblPos val="nextTo"/>
        <c:spPr>
          <a:ln w="9525">
            <a:noFill/>
          </a:ln>
        </c:spPr>
        <c:crossAx val="500272368"/>
        <c:crosses val="autoZero"/>
        <c:crossBetween val="between"/>
        <c:majorUnit val="0.1"/>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 Public Non-Charter Urbanicity'!$A$44</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Public Non-Charter Urbanicity'!$P$43:$V$43</c:f>
              <c:strCache>
                <c:ptCount val="7"/>
                <c:pt idx="0">
                  <c:v>Total</c:v>
                </c:pt>
                <c:pt idx="1">
                  <c:v>Public</c:v>
                </c:pt>
                <c:pt idx="2">
                  <c:v>Private</c:v>
                </c:pt>
                <c:pt idx="3">
                  <c:v>Two-year</c:v>
                </c:pt>
                <c:pt idx="4">
                  <c:v>Four-year</c:v>
                </c:pt>
                <c:pt idx="5">
                  <c:v>In-state</c:v>
                </c:pt>
                <c:pt idx="6">
                  <c:v>Out-of-state</c:v>
                </c:pt>
              </c:strCache>
            </c:strRef>
          </c:cat>
          <c:val>
            <c:numRef>
              <c:f>'6 Public Non-Charter Urbanicity'!$AC$44:$AI$44</c:f>
              <c:numCache>
                <c:formatCode>0.0%</c:formatCode>
                <c:ptCount val="7"/>
                <c:pt idx="0">
                  <c:v>0.81499999999999995</c:v>
                </c:pt>
                <c:pt idx="1">
                  <c:v>0.8</c:v>
                </c:pt>
                <c:pt idx="2">
                  <c:v>0.88300000000000001</c:v>
                </c:pt>
                <c:pt idx="3">
                  <c:v>0.68899999999999995</c:v>
                </c:pt>
                <c:pt idx="4">
                  <c:v>0.876</c:v>
                </c:pt>
                <c:pt idx="5">
                  <c:v>0.80100000000000005</c:v>
                </c:pt>
                <c:pt idx="6">
                  <c:v>0.875</c:v>
                </c:pt>
              </c:numCache>
            </c:numRef>
          </c:val>
          <c:extLst>
            <c:ext xmlns:c16="http://schemas.microsoft.com/office/drawing/2014/chart" uri="{C3380CC4-5D6E-409C-BE32-E72D297353CC}">
              <c16:uniqueId val="{00000000-4F37-4870-BAC8-E49E54581FEF}"/>
            </c:ext>
          </c:extLst>
        </c:ser>
        <c:ser>
          <c:idx val="1"/>
          <c:order val="1"/>
          <c:tx>
            <c:strRef>
              <c:f>'6 Public Non-Charter Urbanicity'!$A$45</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Public Non-Charter Urbanicity'!$P$43:$V$43</c:f>
              <c:strCache>
                <c:ptCount val="7"/>
                <c:pt idx="0">
                  <c:v>Total</c:v>
                </c:pt>
                <c:pt idx="1">
                  <c:v>Public</c:v>
                </c:pt>
                <c:pt idx="2">
                  <c:v>Private</c:v>
                </c:pt>
                <c:pt idx="3">
                  <c:v>Two-year</c:v>
                </c:pt>
                <c:pt idx="4">
                  <c:v>Four-year</c:v>
                </c:pt>
                <c:pt idx="5">
                  <c:v>In-state</c:v>
                </c:pt>
                <c:pt idx="6">
                  <c:v>Out-of-state</c:v>
                </c:pt>
              </c:strCache>
            </c:strRef>
          </c:cat>
          <c:val>
            <c:numRef>
              <c:f>'6 Public Non-Charter Urbanicity'!$AC$45:$AI$45</c:f>
              <c:numCache>
                <c:formatCode>0.0%</c:formatCode>
                <c:ptCount val="7"/>
                <c:pt idx="0">
                  <c:v>0.81899999999999995</c:v>
                </c:pt>
                <c:pt idx="1">
                  <c:v>0.80400000000000005</c:v>
                </c:pt>
                <c:pt idx="2">
                  <c:v>0.88600000000000001</c:v>
                </c:pt>
                <c:pt idx="3">
                  <c:v>0.68300000000000005</c:v>
                </c:pt>
                <c:pt idx="4">
                  <c:v>0.88300000000000001</c:v>
                </c:pt>
                <c:pt idx="5">
                  <c:v>0.80400000000000005</c:v>
                </c:pt>
                <c:pt idx="6">
                  <c:v>0.879</c:v>
                </c:pt>
              </c:numCache>
            </c:numRef>
          </c:val>
          <c:extLst>
            <c:ext xmlns:c16="http://schemas.microsoft.com/office/drawing/2014/chart" uri="{C3380CC4-5D6E-409C-BE32-E72D297353CC}">
              <c16:uniqueId val="{00000001-4F37-4870-BAC8-E49E54581FEF}"/>
            </c:ext>
          </c:extLst>
        </c:ser>
        <c:dLbls>
          <c:dLblPos val="outEnd"/>
          <c:showLegendKey val="0"/>
          <c:showVal val="1"/>
          <c:showCatName val="0"/>
          <c:showSerName val="0"/>
          <c:showPercent val="0"/>
          <c:showBubbleSize val="0"/>
        </c:dLbls>
        <c:gapWidth val="122"/>
        <c:overlap val="-27"/>
        <c:axId val="450104607"/>
        <c:axId val="450102207"/>
      </c:barChart>
      <c:catAx>
        <c:axId val="450104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0102207"/>
        <c:crosses val="autoZero"/>
        <c:auto val="1"/>
        <c:lblAlgn val="ctr"/>
        <c:lblOffset val="100"/>
        <c:noMultiLvlLbl val="0"/>
      </c:catAx>
      <c:valAx>
        <c:axId val="450102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0104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'9 Income Trend Adjustment'!$B$6</c:f>
              <c:strCache>
                <c:ptCount val="1"/>
                <c:pt idx="0">
                  <c:v>N Schools in NSC</c:v>
                </c:pt>
              </c:strCache>
            </c:strRef>
          </c:tx>
          <c:spPr>
            <a:ln w="28575" cap="rnd">
              <a:solidFill>
                <a:schemeClr val="accent1"/>
              </a:solidFill>
              <a:round/>
            </a:ln>
            <a:effectLst/>
          </c:spPr>
          <c:marker>
            <c:symbol val="none"/>
          </c:marker>
          <c:dLbls>
            <c:dLbl>
              <c:idx val="0"/>
              <c:layout>
                <c:manualLayout>
                  <c:x val="-8.3333333333333592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A8-46C3-A64B-E34567E247B6}"/>
                </c:ext>
              </c:extLst>
            </c:dLbl>
            <c:dLbl>
              <c:idx val="1"/>
              <c:layout>
                <c:manualLayout>
                  <c:x val="-1.6666666666666718E-2"/>
                  <c:y val="-3.2407407407407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A8-46C3-A64B-E34567E247B6}"/>
                </c:ext>
              </c:extLst>
            </c:dLbl>
            <c:dLbl>
              <c:idx val="2"/>
              <c:layout>
                <c:manualLayout>
                  <c:x val="-5.5555555555555558E-3"/>
                  <c:y val="3.7037037037036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A8-46C3-A64B-E34567E247B6}"/>
                </c:ext>
              </c:extLst>
            </c:dLbl>
            <c:dLbl>
              <c:idx val="3"/>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A8-46C3-A64B-E34567E247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Income Trend Adjustment'!$A$7:$A$11</c:f>
              <c:strCache>
                <c:ptCount val="5"/>
                <c:pt idx="0">
                  <c:v>Class of 2018</c:v>
                </c:pt>
                <c:pt idx="1">
                  <c:v>Class of 2021</c:v>
                </c:pt>
                <c:pt idx="2">
                  <c:v>Class of 2022</c:v>
                </c:pt>
                <c:pt idx="3">
                  <c:v>Class of 2023</c:v>
                </c:pt>
                <c:pt idx="4">
                  <c:v>Class of 2024</c:v>
                </c:pt>
              </c:strCache>
            </c:strRef>
          </c:cat>
          <c:val>
            <c:numRef>
              <c:f>'9 Income Trend Adjustment'!$B$7:$B$11</c:f>
              <c:numCache>
                <c:formatCode>#,##0</c:formatCode>
                <c:ptCount val="5"/>
                <c:pt idx="0">
                  <c:v>3890</c:v>
                </c:pt>
                <c:pt idx="1">
                  <c:v>3444</c:v>
                </c:pt>
                <c:pt idx="2">
                  <c:v>3187</c:v>
                </c:pt>
                <c:pt idx="3">
                  <c:v>4257</c:v>
                </c:pt>
                <c:pt idx="4">
                  <c:v>3987</c:v>
                </c:pt>
              </c:numCache>
            </c:numRef>
          </c:val>
          <c:smooth val="0"/>
          <c:extLst>
            <c:ext xmlns:c16="http://schemas.microsoft.com/office/drawing/2014/chart" uri="{C3380CC4-5D6E-409C-BE32-E72D297353CC}">
              <c16:uniqueId val="{00000000-BBA8-46C3-A64B-E34567E247B6}"/>
            </c:ext>
          </c:extLst>
        </c:ser>
        <c:ser>
          <c:idx val="1"/>
          <c:order val="1"/>
          <c:tx>
            <c:strRef>
              <c:f>'9 Income Trend Adjustment'!$C$6</c:f>
              <c:strCache>
                <c:ptCount val="1"/>
                <c:pt idx="0">
                  <c:v>N Schools in NCES</c:v>
                </c:pt>
              </c:strCache>
            </c:strRef>
          </c:tx>
          <c:spPr>
            <a:ln w="28575" cap="rnd">
              <a:solidFill>
                <a:schemeClr val="accent2"/>
              </a:solidFill>
              <a:round/>
            </a:ln>
            <a:effectLst/>
          </c:spPr>
          <c:marker>
            <c:symbol val="none"/>
          </c:marker>
          <c:dLbls>
            <c:dLbl>
              <c:idx val="0"/>
              <c:layout>
                <c:manualLayout>
                  <c:x val="-4.166666666666672E-2"/>
                  <c:y val="3.7037037037037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A8-46C3-A64B-E34567E247B6}"/>
                </c:ext>
              </c:extLst>
            </c:dLbl>
            <c:dLbl>
              <c:idx val="2"/>
              <c:layout>
                <c:manualLayout>
                  <c:x val="-1.3888888888888888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A8-46C3-A64B-E34567E247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Income Trend Adjustment'!$A$7:$A$11</c:f>
              <c:strCache>
                <c:ptCount val="5"/>
                <c:pt idx="0">
                  <c:v>Class of 2018</c:v>
                </c:pt>
                <c:pt idx="1">
                  <c:v>Class of 2021</c:v>
                </c:pt>
                <c:pt idx="2">
                  <c:v>Class of 2022</c:v>
                </c:pt>
                <c:pt idx="3">
                  <c:v>Class of 2023</c:v>
                </c:pt>
                <c:pt idx="4">
                  <c:v>Class of 2024</c:v>
                </c:pt>
              </c:strCache>
            </c:strRef>
          </c:cat>
          <c:val>
            <c:numRef>
              <c:f>'9 Income Trend Adjustment'!$C$7:$C$11</c:f>
              <c:numCache>
                <c:formatCode>#,##0</c:formatCode>
                <c:ptCount val="5"/>
                <c:pt idx="0">
                  <c:v>7134</c:v>
                </c:pt>
                <c:pt idx="1">
                  <c:v>6155</c:v>
                </c:pt>
                <c:pt idx="2">
                  <c:v>5919</c:v>
                </c:pt>
                <c:pt idx="3">
                  <c:v>7713</c:v>
                </c:pt>
                <c:pt idx="4">
                  <c:v>8212</c:v>
                </c:pt>
              </c:numCache>
            </c:numRef>
          </c:val>
          <c:smooth val="0"/>
          <c:extLst>
            <c:ext xmlns:c16="http://schemas.microsoft.com/office/drawing/2014/chart" uri="{C3380CC4-5D6E-409C-BE32-E72D297353CC}">
              <c16:uniqueId val="{00000001-BBA8-46C3-A64B-E34567E247B6}"/>
            </c:ext>
          </c:extLst>
        </c:ser>
        <c:dLbls>
          <c:showLegendKey val="0"/>
          <c:showVal val="0"/>
          <c:showCatName val="0"/>
          <c:showSerName val="0"/>
          <c:showPercent val="0"/>
          <c:showBubbleSize val="0"/>
        </c:dLbls>
        <c:smooth val="0"/>
        <c:axId val="431597759"/>
        <c:axId val="431598719"/>
      </c:lineChart>
      <c:catAx>
        <c:axId val="43159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1598719"/>
        <c:crosses val="autoZero"/>
        <c:auto val="1"/>
        <c:lblAlgn val="ctr"/>
        <c:lblOffset val="100"/>
        <c:noMultiLvlLbl val="0"/>
      </c:catAx>
      <c:valAx>
        <c:axId val="431598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1597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'9 Income Trend Adjustment'!$N$6</c:f>
              <c:strCache>
                <c:ptCount val="1"/>
                <c:pt idx="0">
                  <c:v>N Schools in NSC</c:v>
                </c:pt>
              </c:strCache>
            </c:strRef>
          </c:tx>
          <c:spPr>
            <a:ln w="28575" cap="rnd">
              <a:solidFill>
                <a:schemeClr val="accent1"/>
              </a:solidFill>
              <a:round/>
            </a:ln>
            <a:effectLst/>
          </c:spPr>
          <c:marker>
            <c:symbol val="none"/>
          </c:marker>
          <c:dLbls>
            <c:dLbl>
              <c:idx val="0"/>
              <c:layout>
                <c:manualLayout>
                  <c:x val="-3.3333333333333361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8A-4C43-8EC5-2F83F9C08BA0}"/>
                </c:ext>
              </c:extLst>
            </c:dLbl>
            <c:dLbl>
              <c:idx val="1"/>
              <c:layout>
                <c:manualLayout>
                  <c:x val="-1.6666666666666666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8A-4C43-8EC5-2F83F9C08BA0}"/>
                </c:ext>
              </c:extLst>
            </c:dLbl>
            <c:dLbl>
              <c:idx val="2"/>
              <c:layout>
                <c:manualLayout>
                  <c:x val="-1.6666666666666666E-2"/>
                  <c:y val="-3.2407407407407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8A-4C43-8EC5-2F83F9C08BA0}"/>
                </c:ext>
              </c:extLst>
            </c:dLbl>
            <c:dLbl>
              <c:idx val="3"/>
              <c:layout>
                <c:manualLayout>
                  <c:x val="-2.7777777777777776E-2"/>
                  <c:y val="-3.7037037037037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8A-4C43-8EC5-2F83F9C08B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Income Trend Adjustment'!$A$7:$A$11</c:f>
              <c:strCache>
                <c:ptCount val="5"/>
                <c:pt idx="0">
                  <c:v>Class of 2018</c:v>
                </c:pt>
                <c:pt idx="1">
                  <c:v>Class of 2021</c:v>
                </c:pt>
                <c:pt idx="2">
                  <c:v>Class of 2022</c:v>
                </c:pt>
                <c:pt idx="3">
                  <c:v>Class of 2023</c:v>
                </c:pt>
                <c:pt idx="4">
                  <c:v>Class of 2024</c:v>
                </c:pt>
              </c:strCache>
            </c:strRef>
          </c:cat>
          <c:val>
            <c:numRef>
              <c:f>'9 Income Trend Adjustment'!$N$7:$N$11</c:f>
              <c:numCache>
                <c:formatCode>#,##0</c:formatCode>
                <c:ptCount val="5"/>
                <c:pt idx="0">
                  <c:v>7075</c:v>
                </c:pt>
                <c:pt idx="1">
                  <c:v>7758</c:v>
                </c:pt>
                <c:pt idx="2">
                  <c:v>8046</c:v>
                </c:pt>
                <c:pt idx="3">
                  <c:v>6884</c:v>
                </c:pt>
                <c:pt idx="4">
                  <c:v>5567</c:v>
                </c:pt>
              </c:numCache>
            </c:numRef>
          </c:val>
          <c:smooth val="0"/>
          <c:extLst>
            <c:ext xmlns:c16="http://schemas.microsoft.com/office/drawing/2014/chart" uri="{C3380CC4-5D6E-409C-BE32-E72D297353CC}">
              <c16:uniqueId val="{00000000-7C8A-4C43-8EC5-2F83F9C08BA0}"/>
            </c:ext>
          </c:extLst>
        </c:ser>
        <c:ser>
          <c:idx val="1"/>
          <c:order val="1"/>
          <c:tx>
            <c:strRef>
              <c:f>'9 Income Trend Adjustment'!$O$6</c:f>
              <c:strCache>
                <c:ptCount val="1"/>
                <c:pt idx="0">
                  <c:v>N Schools in NCES</c:v>
                </c:pt>
              </c:strCache>
            </c:strRef>
          </c:tx>
          <c:spPr>
            <a:ln w="28575" cap="rnd">
              <a:solidFill>
                <a:schemeClr val="accent2"/>
              </a:solidFill>
              <a:round/>
            </a:ln>
            <a:effectLst/>
          </c:spPr>
          <c:marker>
            <c:symbol val="none"/>
          </c:marker>
          <c:dLbls>
            <c:dLbl>
              <c:idx val="0"/>
              <c:layout>
                <c:manualLayout>
                  <c:x val="-4.1666666666666664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C8A-4C43-8EC5-2F83F9C08BA0}"/>
                </c:ext>
              </c:extLst>
            </c:dLbl>
            <c:dLbl>
              <c:idx val="1"/>
              <c:layout>
                <c:manualLayout>
                  <c:x val="-2.2222222222222223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8A-4C43-8EC5-2F83F9C08BA0}"/>
                </c:ext>
              </c:extLst>
            </c:dLbl>
            <c:dLbl>
              <c:idx val="2"/>
              <c:layout>
                <c:manualLayout>
                  <c:x val="-3.6111111111111108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8A-4C43-8EC5-2F83F9C08BA0}"/>
                </c:ext>
              </c:extLst>
            </c:dLbl>
            <c:dLbl>
              <c:idx val="3"/>
              <c:layout>
                <c:manualLayout>
                  <c:x val="-2.5000000000000102E-2"/>
                  <c:y val="-3.2407407407407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8A-4C43-8EC5-2F83F9C08B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Income Trend Adjustment'!$A$7:$A$11</c:f>
              <c:strCache>
                <c:ptCount val="5"/>
                <c:pt idx="0">
                  <c:v>Class of 2018</c:v>
                </c:pt>
                <c:pt idx="1">
                  <c:v>Class of 2021</c:v>
                </c:pt>
                <c:pt idx="2">
                  <c:v>Class of 2022</c:v>
                </c:pt>
                <c:pt idx="3">
                  <c:v>Class of 2023</c:v>
                </c:pt>
                <c:pt idx="4">
                  <c:v>Class of 2024</c:v>
                </c:pt>
              </c:strCache>
            </c:strRef>
          </c:cat>
          <c:val>
            <c:numRef>
              <c:f>'9 Income Trend Adjustment'!$O$7:$O$11</c:f>
              <c:numCache>
                <c:formatCode>#,##0</c:formatCode>
                <c:ptCount val="5"/>
                <c:pt idx="0">
                  <c:v>9971</c:v>
                </c:pt>
                <c:pt idx="1">
                  <c:v>10992</c:v>
                </c:pt>
                <c:pt idx="2">
                  <c:v>11463</c:v>
                </c:pt>
                <c:pt idx="3">
                  <c:v>9731</c:v>
                </c:pt>
                <c:pt idx="4">
                  <c:v>9248</c:v>
                </c:pt>
              </c:numCache>
            </c:numRef>
          </c:val>
          <c:smooth val="0"/>
          <c:extLst>
            <c:ext xmlns:c16="http://schemas.microsoft.com/office/drawing/2014/chart" uri="{C3380CC4-5D6E-409C-BE32-E72D297353CC}">
              <c16:uniqueId val="{00000001-7C8A-4C43-8EC5-2F83F9C08BA0}"/>
            </c:ext>
          </c:extLst>
        </c:ser>
        <c:dLbls>
          <c:showLegendKey val="0"/>
          <c:showVal val="0"/>
          <c:showCatName val="0"/>
          <c:showSerName val="0"/>
          <c:showPercent val="0"/>
          <c:showBubbleSize val="0"/>
        </c:dLbls>
        <c:smooth val="0"/>
        <c:axId val="431597759"/>
        <c:axId val="431598719"/>
      </c:lineChart>
      <c:catAx>
        <c:axId val="43159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1598719"/>
        <c:crosses val="autoZero"/>
        <c:auto val="1"/>
        <c:lblAlgn val="ctr"/>
        <c:lblOffset val="100"/>
        <c:noMultiLvlLbl val="0"/>
      </c:catAx>
      <c:valAx>
        <c:axId val="431598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1597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 Poverty Trend Adjustment'!$B$6</c:f>
              <c:strCache>
                <c:ptCount val="1"/>
                <c:pt idx="0">
                  <c:v>N Schools in NSC</c:v>
                </c:pt>
              </c:strCache>
            </c:strRef>
          </c:tx>
          <c:spPr>
            <a:ln w="28575" cap="rnd">
              <a:solidFill>
                <a:schemeClr val="accent1"/>
              </a:solidFill>
              <a:round/>
            </a:ln>
            <a:effectLst/>
          </c:spPr>
          <c:marker>
            <c:symbol val="none"/>
          </c:marker>
          <c:dLbls>
            <c:dLbl>
              <c:idx val="0"/>
              <c:layout>
                <c:manualLayout>
                  <c:x val="-8.3333333333333592E-3"/>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FC-46BE-BB36-65CD9A020410}"/>
                </c:ext>
              </c:extLst>
            </c:dLbl>
            <c:dLbl>
              <c:idx val="1"/>
              <c:layout>
                <c:manualLayout>
                  <c:x val="-1.6666666666666718E-2"/>
                  <c:y val="-3.2407407407407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FC-46BE-BB36-65CD9A020410}"/>
                </c:ext>
              </c:extLst>
            </c:dLbl>
            <c:dLbl>
              <c:idx val="2"/>
              <c:layout>
                <c:manualLayout>
                  <c:x val="-5.5555555555555558E-3"/>
                  <c:y val="3.7037037037036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FC-46BE-BB36-65CD9A020410}"/>
                </c:ext>
              </c:extLst>
            </c:dLbl>
            <c:dLbl>
              <c:idx val="3"/>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FC-46BE-BB36-65CD9A0204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Poverty Trend Adjustment'!$A$7:$A$11</c:f>
              <c:strCache>
                <c:ptCount val="5"/>
                <c:pt idx="0">
                  <c:v>Class of 2018</c:v>
                </c:pt>
                <c:pt idx="1">
                  <c:v>Class of 2021</c:v>
                </c:pt>
                <c:pt idx="2">
                  <c:v>Class of 2022</c:v>
                </c:pt>
                <c:pt idx="3">
                  <c:v>Class of 2023</c:v>
                </c:pt>
                <c:pt idx="4">
                  <c:v>Class of 2024</c:v>
                </c:pt>
              </c:strCache>
            </c:strRef>
          </c:cat>
          <c:val>
            <c:numRef>
              <c:f>'10 Poverty Trend Adjustment'!$B$7:$B$11</c:f>
              <c:numCache>
                <c:formatCode>#,##0</c:formatCode>
                <c:ptCount val="5"/>
                <c:pt idx="0">
                  <c:v>1533</c:v>
                </c:pt>
                <c:pt idx="1">
                  <c:v>1437</c:v>
                </c:pt>
                <c:pt idx="2">
                  <c:v>1368</c:v>
                </c:pt>
                <c:pt idx="3">
                  <c:v>1785</c:v>
                </c:pt>
                <c:pt idx="4">
                  <c:v>1641</c:v>
                </c:pt>
              </c:numCache>
            </c:numRef>
          </c:val>
          <c:smooth val="0"/>
          <c:extLst>
            <c:ext xmlns:c16="http://schemas.microsoft.com/office/drawing/2014/chart" uri="{C3380CC4-5D6E-409C-BE32-E72D297353CC}">
              <c16:uniqueId val="{00000004-3FFC-46BE-BB36-65CD9A020410}"/>
            </c:ext>
          </c:extLst>
        </c:ser>
        <c:ser>
          <c:idx val="1"/>
          <c:order val="1"/>
          <c:tx>
            <c:strRef>
              <c:f>'10 Poverty Trend Adjustment'!$C$6</c:f>
              <c:strCache>
                <c:ptCount val="1"/>
                <c:pt idx="0">
                  <c:v>N Schools in NCES</c:v>
                </c:pt>
              </c:strCache>
            </c:strRef>
          </c:tx>
          <c:spPr>
            <a:ln w="28575" cap="rnd">
              <a:solidFill>
                <a:schemeClr val="accent2"/>
              </a:solidFill>
              <a:round/>
            </a:ln>
            <a:effectLst/>
          </c:spPr>
          <c:marker>
            <c:symbol val="none"/>
          </c:marker>
          <c:dLbls>
            <c:dLbl>
              <c:idx val="0"/>
              <c:layout>
                <c:manualLayout>
                  <c:x val="-4.166666666666672E-2"/>
                  <c:y val="3.7037037037037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FC-46BE-BB36-65CD9A020410}"/>
                </c:ext>
              </c:extLst>
            </c:dLbl>
            <c:dLbl>
              <c:idx val="2"/>
              <c:layout>
                <c:manualLayout>
                  <c:x val="-1.3888888888888888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FC-46BE-BB36-65CD9A0204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Poverty Trend Adjustment'!$A$7:$A$11</c:f>
              <c:strCache>
                <c:ptCount val="5"/>
                <c:pt idx="0">
                  <c:v>Class of 2018</c:v>
                </c:pt>
                <c:pt idx="1">
                  <c:v>Class of 2021</c:v>
                </c:pt>
                <c:pt idx="2">
                  <c:v>Class of 2022</c:v>
                </c:pt>
                <c:pt idx="3">
                  <c:v>Class of 2023</c:v>
                </c:pt>
                <c:pt idx="4">
                  <c:v>Class of 2024</c:v>
                </c:pt>
              </c:strCache>
            </c:strRef>
          </c:cat>
          <c:val>
            <c:numRef>
              <c:f>'10 Poverty Trend Adjustment'!$C$7:$C$11</c:f>
              <c:numCache>
                <c:formatCode>#,##0</c:formatCode>
                <c:ptCount val="5"/>
                <c:pt idx="0">
                  <c:v>2853</c:v>
                </c:pt>
                <c:pt idx="1">
                  <c:v>2713</c:v>
                </c:pt>
                <c:pt idx="2">
                  <c:v>2640</c:v>
                </c:pt>
                <c:pt idx="3">
                  <c:v>3340</c:v>
                </c:pt>
                <c:pt idx="4">
                  <c:v>3530</c:v>
                </c:pt>
              </c:numCache>
            </c:numRef>
          </c:val>
          <c:smooth val="0"/>
          <c:extLst>
            <c:ext xmlns:c16="http://schemas.microsoft.com/office/drawing/2014/chart" uri="{C3380CC4-5D6E-409C-BE32-E72D297353CC}">
              <c16:uniqueId val="{00000007-3FFC-46BE-BB36-65CD9A020410}"/>
            </c:ext>
          </c:extLst>
        </c:ser>
        <c:dLbls>
          <c:showLegendKey val="0"/>
          <c:showVal val="0"/>
          <c:showCatName val="0"/>
          <c:showSerName val="0"/>
          <c:showPercent val="0"/>
          <c:showBubbleSize val="0"/>
        </c:dLbls>
        <c:smooth val="0"/>
        <c:axId val="431597759"/>
        <c:axId val="431598719"/>
      </c:lineChart>
      <c:catAx>
        <c:axId val="43159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1598719"/>
        <c:crosses val="autoZero"/>
        <c:auto val="1"/>
        <c:lblAlgn val="ctr"/>
        <c:lblOffset val="100"/>
        <c:noMultiLvlLbl val="0"/>
      </c:catAx>
      <c:valAx>
        <c:axId val="431598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1597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 Poverty Trend Adjustment'!$N$6</c:f>
              <c:strCache>
                <c:ptCount val="1"/>
                <c:pt idx="0">
                  <c:v>N Schools in NSC</c:v>
                </c:pt>
              </c:strCache>
            </c:strRef>
          </c:tx>
          <c:spPr>
            <a:ln w="28575" cap="rnd">
              <a:solidFill>
                <a:schemeClr val="accent1"/>
              </a:solidFill>
              <a:round/>
            </a:ln>
            <a:effectLst/>
          </c:spPr>
          <c:marker>
            <c:symbol val="none"/>
          </c:marker>
          <c:dLbls>
            <c:dLbl>
              <c:idx val="0"/>
              <c:layout>
                <c:manualLayout>
                  <c:x val="-3.3333333333333361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8C-4662-BE82-1DB93D5AEE83}"/>
                </c:ext>
              </c:extLst>
            </c:dLbl>
            <c:dLbl>
              <c:idx val="1"/>
              <c:layout>
                <c:manualLayout>
                  <c:x val="-1.6666666666666666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8C-4662-BE82-1DB93D5AEE83}"/>
                </c:ext>
              </c:extLst>
            </c:dLbl>
            <c:dLbl>
              <c:idx val="2"/>
              <c:layout>
                <c:manualLayout>
                  <c:x val="-1.6666666666666666E-2"/>
                  <c:y val="-3.2407407407407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8C-4662-BE82-1DB93D5AEE83}"/>
                </c:ext>
              </c:extLst>
            </c:dLbl>
            <c:dLbl>
              <c:idx val="3"/>
              <c:layout>
                <c:manualLayout>
                  <c:x val="-2.7777777777777776E-2"/>
                  <c:y val="-3.7037037037037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8C-4662-BE82-1DB93D5A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Poverty Trend Adjustment'!$A$7:$A$11</c:f>
              <c:strCache>
                <c:ptCount val="5"/>
                <c:pt idx="0">
                  <c:v>Class of 2018</c:v>
                </c:pt>
                <c:pt idx="1">
                  <c:v>Class of 2021</c:v>
                </c:pt>
                <c:pt idx="2">
                  <c:v>Class of 2022</c:v>
                </c:pt>
                <c:pt idx="3">
                  <c:v>Class of 2023</c:v>
                </c:pt>
                <c:pt idx="4">
                  <c:v>Class of 2024</c:v>
                </c:pt>
              </c:strCache>
            </c:strRef>
          </c:cat>
          <c:val>
            <c:numRef>
              <c:f>'10 Poverty Trend Adjustment'!$N$7:$N$11</c:f>
              <c:numCache>
                <c:formatCode>#,##0</c:formatCode>
                <c:ptCount val="5"/>
                <c:pt idx="0">
                  <c:v>2158</c:v>
                </c:pt>
                <c:pt idx="1">
                  <c:v>1777</c:v>
                </c:pt>
                <c:pt idx="2">
                  <c:v>2207</c:v>
                </c:pt>
                <c:pt idx="3">
                  <c:v>1820</c:v>
                </c:pt>
                <c:pt idx="4">
                  <c:v>1298</c:v>
                </c:pt>
              </c:numCache>
            </c:numRef>
          </c:val>
          <c:smooth val="0"/>
          <c:extLst>
            <c:ext xmlns:c16="http://schemas.microsoft.com/office/drawing/2014/chart" uri="{C3380CC4-5D6E-409C-BE32-E72D297353CC}">
              <c16:uniqueId val="{00000004-AF8C-4662-BE82-1DB93D5AEE83}"/>
            </c:ext>
          </c:extLst>
        </c:ser>
        <c:ser>
          <c:idx val="1"/>
          <c:order val="1"/>
          <c:tx>
            <c:strRef>
              <c:f>'10 Poverty Trend Adjustment'!$O$6</c:f>
              <c:strCache>
                <c:ptCount val="1"/>
                <c:pt idx="0">
                  <c:v>N Schools in NCES</c:v>
                </c:pt>
              </c:strCache>
            </c:strRef>
          </c:tx>
          <c:spPr>
            <a:ln w="28575" cap="rnd">
              <a:solidFill>
                <a:schemeClr val="accent2"/>
              </a:solidFill>
              <a:round/>
            </a:ln>
            <a:effectLst/>
          </c:spPr>
          <c:marker>
            <c:symbol val="none"/>
          </c:marker>
          <c:dLbls>
            <c:dLbl>
              <c:idx val="0"/>
              <c:layout>
                <c:manualLayout>
                  <c:x val="-4.1666666666666664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8C-4662-BE82-1DB93D5AEE83}"/>
                </c:ext>
              </c:extLst>
            </c:dLbl>
            <c:dLbl>
              <c:idx val="1"/>
              <c:layout>
                <c:manualLayout>
                  <c:x val="-2.2222222222222223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8C-4662-BE82-1DB93D5AEE83}"/>
                </c:ext>
              </c:extLst>
            </c:dLbl>
            <c:dLbl>
              <c:idx val="2"/>
              <c:layout>
                <c:manualLayout>
                  <c:x val="-3.6111111111111108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8C-4662-BE82-1DB93D5AEE83}"/>
                </c:ext>
              </c:extLst>
            </c:dLbl>
            <c:dLbl>
              <c:idx val="3"/>
              <c:layout>
                <c:manualLayout>
                  <c:x val="-2.5000000000000102E-2"/>
                  <c:y val="-3.2407407407407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8C-4662-BE82-1DB93D5A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 Poverty Trend Adjustment'!$A$7:$A$11</c:f>
              <c:strCache>
                <c:ptCount val="5"/>
                <c:pt idx="0">
                  <c:v>Class of 2018</c:v>
                </c:pt>
                <c:pt idx="1">
                  <c:v>Class of 2021</c:v>
                </c:pt>
                <c:pt idx="2">
                  <c:v>Class of 2022</c:v>
                </c:pt>
                <c:pt idx="3">
                  <c:v>Class of 2023</c:v>
                </c:pt>
                <c:pt idx="4">
                  <c:v>Class of 2024</c:v>
                </c:pt>
              </c:strCache>
            </c:strRef>
          </c:cat>
          <c:val>
            <c:numRef>
              <c:f>'10 Poverty Trend Adjustment'!$O$7:$O$11</c:f>
              <c:numCache>
                <c:formatCode>#,##0</c:formatCode>
                <c:ptCount val="5"/>
                <c:pt idx="0">
                  <c:v>2819</c:v>
                </c:pt>
                <c:pt idx="1">
                  <c:v>2426</c:v>
                </c:pt>
                <c:pt idx="2">
                  <c:v>3091</c:v>
                </c:pt>
                <c:pt idx="3">
                  <c:v>2411</c:v>
                </c:pt>
                <c:pt idx="4">
                  <c:v>1984</c:v>
                </c:pt>
              </c:numCache>
            </c:numRef>
          </c:val>
          <c:smooth val="0"/>
          <c:extLst>
            <c:ext xmlns:c16="http://schemas.microsoft.com/office/drawing/2014/chart" uri="{C3380CC4-5D6E-409C-BE32-E72D297353CC}">
              <c16:uniqueId val="{00000009-AF8C-4662-BE82-1DB93D5AEE83}"/>
            </c:ext>
          </c:extLst>
        </c:ser>
        <c:dLbls>
          <c:showLegendKey val="0"/>
          <c:showVal val="0"/>
          <c:showCatName val="0"/>
          <c:showSerName val="0"/>
          <c:showPercent val="0"/>
          <c:showBubbleSize val="0"/>
        </c:dLbls>
        <c:smooth val="0"/>
        <c:axId val="431597759"/>
        <c:axId val="431598719"/>
      </c:lineChart>
      <c:catAx>
        <c:axId val="43159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1598719"/>
        <c:crosses val="autoZero"/>
        <c:auto val="1"/>
        <c:lblAlgn val="ctr"/>
        <c:lblOffset val="100"/>
        <c:noMultiLvlLbl val="0"/>
      </c:catAx>
      <c:valAx>
        <c:axId val="431598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1597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25</xdr:col>
      <xdr:colOff>938030</xdr:colOff>
      <xdr:row>13</xdr:row>
      <xdr:rowOff>0</xdr:rowOff>
    </xdr:from>
    <xdr:to>
      <xdr:col>36</xdr:col>
      <xdr:colOff>385843</xdr:colOff>
      <xdr:row>13</xdr:row>
      <xdr:rowOff>781</xdr:rowOff>
    </xdr:to>
    <xdr:graphicFrame macro="">
      <xdr:nvGraphicFramePr>
        <xdr:cNvPr id="185" name="Chart 2">
          <a:extLst>
            <a:ext uri="{FF2B5EF4-FFF2-40B4-BE49-F238E27FC236}">
              <a16:creationId xmlns:a16="http://schemas.microsoft.com/office/drawing/2014/main" id="{803F636B-D7CD-4F93-B788-8821A7941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0</xdr:colOff>
      <xdr:row>46</xdr:row>
      <xdr:rowOff>0</xdr:rowOff>
    </xdr:from>
    <xdr:to>
      <xdr:col>35</xdr:col>
      <xdr:colOff>521425</xdr:colOff>
      <xdr:row>46</xdr:row>
      <xdr:rowOff>68580</xdr:rowOff>
    </xdr:to>
    <xdr:graphicFrame macro="">
      <xdr:nvGraphicFramePr>
        <xdr:cNvPr id="36" name="Chart 15">
          <a:extLst>
            <a:ext uri="{FF2B5EF4-FFF2-40B4-BE49-F238E27FC236}">
              <a16:creationId xmlns:a16="http://schemas.microsoft.com/office/drawing/2014/main" id="{C9053780-3E04-4A32-AC50-01A02521AE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953</xdr:rowOff>
    </xdr:from>
    <xdr:to>
      <xdr:col>7</xdr:col>
      <xdr:colOff>254698</xdr:colOff>
      <xdr:row>27</xdr:row>
      <xdr:rowOff>952</xdr:rowOff>
    </xdr:to>
    <xdr:graphicFrame macro="">
      <xdr:nvGraphicFramePr>
        <xdr:cNvPr id="19" name="Chart 1">
          <a:extLst>
            <a:ext uri="{FF2B5EF4-FFF2-40B4-BE49-F238E27FC236}">
              <a16:creationId xmlns:a16="http://schemas.microsoft.com/office/drawing/2014/main" id="{D786118F-9753-CC0C-A1A4-625A04591B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xdr:colOff>
      <xdr:row>12</xdr:row>
      <xdr:rowOff>0</xdr:rowOff>
    </xdr:from>
    <xdr:to>
      <xdr:col>19</xdr:col>
      <xdr:colOff>171354</xdr:colOff>
      <xdr:row>27</xdr:row>
      <xdr:rowOff>0</xdr:rowOff>
    </xdr:to>
    <xdr:graphicFrame macro="">
      <xdr:nvGraphicFramePr>
        <xdr:cNvPr id="20" name="Chart 2">
          <a:extLst>
            <a:ext uri="{FF2B5EF4-FFF2-40B4-BE49-F238E27FC236}">
              <a16:creationId xmlns:a16="http://schemas.microsoft.com/office/drawing/2014/main" id="{D07028FD-BCA2-4B2F-BB4A-26095E91B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173355</xdr:rowOff>
    </xdr:from>
    <xdr:to>
      <xdr:col>7</xdr:col>
      <xdr:colOff>123730</xdr:colOff>
      <xdr:row>26</xdr:row>
      <xdr:rowOff>173355</xdr:rowOff>
    </xdr:to>
    <xdr:graphicFrame macro="">
      <xdr:nvGraphicFramePr>
        <xdr:cNvPr id="16" name="Chart 1">
          <a:extLst>
            <a:ext uri="{FF2B5EF4-FFF2-40B4-BE49-F238E27FC236}">
              <a16:creationId xmlns:a16="http://schemas.microsoft.com/office/drawing/2014/main" id="{E53722A4-EEB0-428F-9A38-7A395253D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12</xdr:row>
      <xdr:rowOff>0</xdr:rowOff>
    </xdr:from>
    <xdr:to>
      <xdr:col>19</xdr:col>
      <xdr:colOff>100775</xdr:colOff>
      <xdr:row>27</xdr:row>
      <xdr:rowOff>0</xdr:rowOff>
    </xdr:to>
    <xdr:graphicFrame macro="">
      <xdr:nvGraphicFramePr>
        <xdr:cNvPr id="19" name="Chart 2">
          <a:extLst>
            <a:ext uri="{FF2B5EF4-FFF2-40B4-BE49-F238E27FC236}">
              <a16:creationId xmlns:a16="http://schemas.microsoft.com/office/drawing/2014/main" id="{CE4FCEAE-73BD-4921-BE57-E5DEA2D6F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D561-4267-4DE8-BEF8-056C91F152FF}">
  <dimension ref="A1:B89"/>
  <sheetViews>
    <sheetView tabSelected="1" topLeftCell="A60" workbookViewId="0">
      <selection activeCell="F11" sqref="F11"/>
    </sheetView>
  </sheetViews>
  <sheetFormatPr defaultRowHeight="14.4" x14ac:dyDescent="0.3"/>
  <cols>
    <col min="1" max="1" width="31.6640625" bestFit="1" customWidth="1"/>
    <col min="2" max="2" width="156.77734375" customWidth="1"/>
  </cols>
  <sheetData>
    <row r="1" spans="1:2" ht="21" x14ac:dyDescent="0.3">
      <c r="A1" s="94" t="s">
        <v>0</v>
      </c>
      <c r="B1" s="95"/>
    </row>
    <row r="2" spans="1:2" ht="18" x14ac:dyDescent="0.3">
      <c r="A2" s="96" t="s">
        <v>139</v>
      </c>
      <c r="B2" s="97"/>
    </row>
    <row r="3" spans="1:2" x14ac:dyDescent="0.3">
      <c r="A3" s="39" t="s">
        <v>1</v>
      </c>
      <c r="B3" s="40" t="s">
        <v>2</v>
      </c>
    </row>
    <row r="4" spans="1:2" x14ac:dyDescent="0.3">
      <c r="A4" s="93" t="s">
        <v>3</v>
      </c>
      <c r="B4" s="42" t="str">
        <f>'1 Public Non-Charter Overall'!A3</f>
        <v>Table 1. Rates of College Enrollment in the First Fall after High School Graduation for Class of 2024</v>
      </c>
    </row>
    <row r="5" spans="1:2" x14ac:dyDescent="0.3">
      <c r="A5" s="93"/>
      <c r="B5" s="41" t="str">
        <f>'1 Public Non-Charter Overall'!A20</f>
        <v>Table 2. Rates of College Enrollment in the First Fall after High School Graduation for Class of 2023</v>
      </c>
    </row>
    <row r="6" spans="1:2" x14ac:dyDescent="0.3">
      <c r="A6" s="93"/>
      <c r="B6" s="41" t="str">
        <f>'1 Public Non-Charter Overall'!A37</f>
        <v>Table 3. Rates of College Enrollment in the First Year after High School Graduation for Class of 2023</v>
      </c>
    </row>
    <row r="7" spans="1:2" x14ac:dyDescent="0.3">
      <c r="A7" s="93"/>
      <c r="B7" s="41" t="str">
        <f>'1 Public Non-Charter Overall'!A54</f>
        <v>Table 4. Rates of College Enrollment in the First Year after High School Graduation for Class of 2022</v>
      </c>
    </row>
    <row r="8" spans="1:2" x14ac:dyDescent="0.3">
      <c r="A8" s="93"/>
      <c r="B8" s="41" t="str">
        <f>'1 Public Non-Charter Overall'!A71</f>
        <v>Table 5. Rates of College Enrollment in the First Two Years after High School Graduation for Class of 2022</v>
      </c>
    </row>
    <row r="9" spans="1:2" x14ac:dyDescent="0.3">
      <c r="A9" s="93"/>
      <c r="B9" s="41" t="str">
        <f>'1 Public Non-Charter Overall'!A88</f>
        <v>Table 6. Rates of College Enrollment in the First Two Years after High School Graduation for Class of 2021</v>
      </c>
    </row>
    <row r="10" spans="1:2" x14ac:dyDescent="0.3">
      <c r="A10" s="93"/>
      <c r="B10" s="41" t="str">
        <f>'1 Public Non-Charter Overall'!A105</f>
        <v>Table 7. Persistence Rates from First to Second Year of College for Class of 2022</v>
      </c>
    </row>
    <row r="11" spans="1:2" x14ac:dyDescent="0.3">
      <c r="A11" s="93"/>
      <c r="B11" s="41" t="str">
        <f>'1 Public Non-Charter Overall'!A122</f>
        <v>Table 8. Persistence Rates from First to Second Year of College for Class of 2021</v>
      </c>
    </row>
    <row r="12" spans="1:2" x14ac:dyDescent="0.3">
      <c r="A12" s="93"/>
      <c r="B12" s="41" t="str">
        <f>'1 Public Non-Charter Overall'!A139</f>
        <v>Table 9. Six-Year Completion Rates for Class of 2018</v>
      </c>
    </row>
    <row r="13" spans="1:2" x14ac:dyDescent="0.3">
      <c r="A13" s="93"/>
      <c r="B13" s="41" t="str">
        <f>'1 Public Non-Charter Overall'!A156</f>
        <v>Table 10. Six-Year Completion Rates for Class of 2017</v>
      </c>
    </row>
    <row r="14" spans="1:2" x14ac:dyDescent="0.3">
      <c r="A14" s="93"/>
      <c r="B14" s="41" t="str">
        <f>'1 Public Non-Charter Overall'!A173</f>
        <v>Table 11. Six-Year Completion Rates for Class of 2018, STEM</v>
      </c>
    </row>
    <row r="15" spans="1:2" x14ac:dyDescent="0.3">
      <c r="A15" s="93"/>
      <c r="B15" s="41" t="str">
        <f>'1 Public Non-Charter Overall'!A184</f>
        <v>Table 12. Six-Year STEM Completers by Field of Study, Class of 2018</v>
      </c>
    </row>
    <row r="16" spans="1:2" x14ac:dyDescent="0.3">
      <c r="A16" s="93"/>
      <c r="B16" s="41" t="str">
        <f>'1 Public Non-Charter Overall'!A203</f>
        <v>Table 13. Rates of College Enrollment in the First Fall after High School Graduation for Class of 2024 by Income and Minority Levels</v>
      </c>
    </row>
    <row r="17" spans="1:2" x14ac:dyDescent="0.3">
      <c r="A17" s="93"/>
      <c r="B17" s="41" t="str">
        <f>'1 Public Non-Charter Overall'!A220</f>
        <v>Table 14. Persistence Rates from First to Second Year of College for Class of 2022 by Income and Minority Levels</v>
      </c>
    </row>
    <row r="18" spans="1:2" x14ac:dyDescent="0.3">
      <c r="A18" s="93"/>
      <c r="B18" s="41" t="str">
        <f>'1 Public Non-Charter Overall'!A237</f>
        <v>Table 15. Six-Year College Completion Rates for Class of 2018 by Income and Minority Levels</v>
      </c>
    </row>
    <row r="19" spans="1:2" x14ac:dyDescent="0.3">
      <c r="A19" s="93" t="s">
        <v>4</v>
      </c>
      <c r="B19" s="42" t="str">
        <f>REPLACE('2 Public Non-Charter Majors'!A4,9,1,"")</f>
        <v>Table 16. Top Five Majors for Students with First Fall Enrollment, Class of 2024</v>
      </c>
    </row>
    <row r="20" spans="1:2" x14ac:dyDescent="0.3">
      <c r="A20" s="93"/>
      <c r="B20" s="41" t="str">
        <f>REPLACE('2 Public Non-Charter Majors'!A52,9,1,"")</f>
        <v>Table 17. Top Five Majors for Students with First Year Persistence, Class of 2022</v>
      </c>
    </row>
    <row r="21" spans="1:2" x14ac:dyDescent="0.3">
      <c r="A21" s="93"/>
      <c r="B21" s="43" t="str">
        <f>REPLACE('2 Public Non-Charter Majors'!A100,9,1,"")</f>
        <v>Table 18. Top Five Majors for Students with Completion within Six Years, Class of 2018</v>
      </c>
    </row>
    <row r="22" spans="1:2" x14ac:dyDescent="0.3">
      <c r="A22" s="89" t="s">
        <v>5</v>
      </c>
      <c r="B22" s="41" t="str">
        <f>REPLACE('3 Public Non-Charter Poverty'!$A$4,9,1,"")</f>
        <v>Table 19. College Enrollment Rates in the First Fall after High School Graduation for Classes 2023 and 2024, School Percentile Distribution</v>
      </c>
    </row>
    <row r="23" spans="1:2" x14ac:dyDescent="0.3">
      <c r="A23" s="90"/>
      <c r="B23" s="41" t="str">
        <f>REPLACE('3 Public Non-Charter Poverty'!$A$9,9,1,"")</f>
        <v>Table 20. College Enrollment Rates in the First Fall after High School Graduation for Classes 2023 and 2024, Student-Weighted Totals</v>
      </c>
    </row>
    <row r="24" spans="1:2" x14ac:dyDescent="0.3">
      <c r="A24" s="90"/>
      <c r="B24" s="41" t="str">
        <f>REPLACE('3 Public Non-Charter Poverty'!$A$15,9,1,"")</f>
        <v>Table 21. College Enrollment Rates in the First Year after High School Graduation for Classes 2022 and 2023, School Percentile Distribution</v>
      </c>
    </row>
    <row r="25" spans="1:2" x14ac:dyDescent="0.3">
      <c r="A25" s="90"/>
      <c r="B25" s="41" t="str">
        <f>REPLACE('3 Public Non-Charter Poverty'!$A$20,9,1,"")</f>
        <v>Table 22. College Enrollment Rates in the First Year after High School Graduation for Classes 2022 and 2023, Student-Weighted Totals</v>
      </c>
    </row>
    <row r="26" spans="1:2" x14ac:dyDescent="0.3">
      <c r="A26" s="90"/>
      <c r="B26" s="41" t="str">
        <f>REPLACE('3 Public Non-Charter Poverty'!$A$26,9,1,"")</f>
        <v>Table 23. College Enrollment Rates in the First Two Years after High School Graduation for Classes 2021 and 2022, School Percentile Distribution</v>
      </c>
    </row>
    <row r="27" spans="1:2" x14ac:dyDescent="0.3">
      <c r="A27" s="90"/>
      <c r="B27" s="41" t="str">
        <f>REPLACE('3 Public Non-Charter Poverty'!$A$31,9,1,"")</f>
        <v>Table 24. College Enrollment Rates in the First Two Years after High School Graduation for Classes 2021 and 2022, Student-Weighted Totals</v>
      </c>
    </row>
    <row r="28" spans="1:2" x14ac:dyDescent="0.3">
      <c r="A28" s="90"/>
      <c r="B28" s="41" t="str">
        <f>REPLACE('3 Public Non-Charter Poverty'!$A$37,9,1,"")</f>
        <v>Table 25. Persistence Rates from First to Second Year of College for Class of 2021 and 2022, School Percentile Distribution</v>
      </c>
    </row>
    <row r="29" spans="1:2" x14ac:dyDescent="0.3">
      <c r="A29" s="90"/>
      <c r="B29" s="41" t="str">
        <f>REPLACE('3 Public Non-Charter Poverty'!$A$42,9,1,"")</f>
        <v>Table 26. Persistence Rates from First to Second Year of College for Class of 2021 and 2022, Student-Weighted Totals</v>
      </c>
    </row>
    <row r="30" spans="1:2" x14ac:dyDescent="0.3">
      <c r="A30" s="90"/>
      <c r="B30" s="41" t="str">
        <f>REPLACE('3 Public Non-Charter Poverty'!$A$48,9,1,"")</f>
        <v>Table 27. Six-Year Completion Rates for Class of 2017 and 2018, School Percentile Distribution</v>
      </c>
    </row>
    <row r="31" spans="1:2" x14ac:dyDescent="0.3">
      <c r="A31" s="91"/>
      <c r="B31" s="41" t="str">
        <f>REPLACE('3 Public Non-Charter Poverty'!$A$53,9,1,"")</f>
        <v>Table 28. Six-Year Completion Rates for Class of 2017 and 2018, Student-Weighted Totals</v>
      </c>
    </row>
    <row r="32" spans="1:2" x14ac:dyDescent="0.3">
      <c r="A32" s="89" t="s">
        <v>6</v>
      </c>
      <c r="B32" s="42" t="str">
        <f>REPLACE('4 Public Non-Charter Income'!$A$4,9,1,"")</f>
        <v>Table 29. College Enrollment Rates in the First Fall after High School Graduation for Classes 2023 and 2024, School Percentile Distribution</v>
      </c>
    </row>
    <row r="33" spans="1:2" x14ac:dyDescent="0.3">
      <c r="A33" s="90"/>
      <c r="B33" s="41" t="str">
        <f>REPLACE('4 Public Non-Charter Income'!$A$9,9,1,"")</f>
        <v>Table 30. College Enrollment Rates in the First Fall after High School Graduation for Classes 2023 and 2024, Student-Weighted Totals</v>
      </c>
    </row>
    <row r="34" spans="1:2" x14ac:dyDescent="0.3">
      <c r="A34" s="90"/>
      <c r="B34" s="41" t="str">
        <f>REPLACE('4 Public Non-Charter Income'!$A$15,9,1,"")</f>
        <v>Table 31. College Enrollment Rates in the First Year after High School Graduation for Classes 2022 and 2023, School Percentile Distribution</v>
      </c>
    </row>
    <row r="35" spans="1:2" x14ac:dyDescent="0.3">
      <c r="A35" s="90"/>
      <c r="B35" s="41" t="str">
        <f>REPLACE('4 Public Non-Charter Income'!$A$20,9,1,"")</f>
        <v>Table 32. College Enrollment Rates in the First Year after High School Graduation for Classes 2022 and 2023, Student-Weighted Totals</v>
      </c>
    </row>
    <row r="36" spans="1:2" x14ac:dyDescent="0.3">
      <c r="A36" s="90"/>
      <c r="B36" s="41" t="str">
        <f>REPLACE('4 Public Non-Charter Income'!$A$26,9,1,"")</f>
        <v>Table 33. College Enrollment Rates in the First Two Years after High School Graduation for Classes 2021 and 2022, School Percentile Distribution</v>
      </c>
    </row>
    <row r="37" spans="1:2" x14ac:dyDescent="0.3">
      <c r="A37" s="90"/>
      <c r="B37" s="41" t="str">
        <f>REPLACE('4 Public Non-Charter Income'!$A$31,9,1,"")</f>
        <v>Table 34. College Enrollment Rates in the First Two Years after High School Graduation for Classes 2021 and 2022, Student-Weighted Totals</v>
      </c>
    </row>
    <row r="38" spans="1:2" x14ac:dyDescent="0.3">
      <c r="A38" s="90"/>
      <c r="B38" s="41" t="str">
        <f>REPLACE('4 Public Non-Charter Income'!$A$37,9,1,"")</f>
        <v>Table 35. Persistence Rates from First to Second Year of College for Class of 2021 and 2022, School Percentile Distribution</v>
      </c>
    </row>
    <row r="39" spans="1:2" x14ac:dyDescent="0.3">
      <c r="A39" s="90"/>
      <c r="B39" s="41" t="str">
        <f>REPLACE('4 Public Non-Charter Income'!$A$42,9,1,"")</f>
        <v>Table 36. Persistence Rates from First to Second Year of College for Class of 2021 and 2022, Student-Weighted Totals</v>
      </c>
    </row>
    <row r="40" spans="1:2" x14ac:dyDescent="0.3">
      <c r="A40" s="90"/>
      <c r="B40" s="41" t="str">
        <f>REPLACE('4 Public Non-Charter Income'!$A$48,9,1,"")</f>
        <v>Table 37. Six-Year Completion Rates for Class of 2017 and 2018, School Percentile Distribution</v>
      </c>
    </row>
    <row r="41" spans="1:2" x14ac:dyDescent="0.3">
      <c r="A41" s="91"/>
      <c r="B41" s="43" t="str">
        <f>REPLACE('4 Public Non-Charter Income'!$A$53,9,1,"")</f>
        <v>Table 38. Six-Year Completion Rates for Class of 2017 and 2018, Student-Weighted Totals</v>
      </c>
    </row>
    <row r="42" spans="1:2" x14ac:dyDescent="0.3">
      <c r="A42" s="89" t="s">
        <v>7</v>
      </c>
      <c r="B42" s="42" t="str">
        <f>REPLACE('5 Public Non-Charter Minority'!$A$4,9,1,"")</f>
        <v>Table 39. College Enrollment Rates in the First Fall after High School Graduation for Classes 2023 and 2024, School Percentile Distribution</v>
      </c>
    </row>
    <row r="43" spans="1:2" x14ac:dyDescent="0.3">
      <c r="A43" s="90"/>
      <c r="B43" s="41" t="str">
        <f>REPLACE('5 Public Non-Charter Minority'!$A$9,9,1,"")</f>
        <v>Table 40. College Enrollment Rates in the First Fall after High School Graduation for Classes 2023 and 2024, Student-Weighted Totals</v>
      </c>
    </row>
    <row r="44" spans="1:2" x14ac:dyDescent="0.3">
      <c r="A44" s="90"/>
      <c r="B44" s="41" t="str">
        <f>REPLACE('5 Public Non-Charter Minority'!$A$15,9,1,"")</f>
        <v>Table 41. College Enrollment Rates in the First Year after High School Graduation for Classes 2022 and 2023, School Percentile Distribution</v>
      </c>
    </row>
    <row r="45" spans="1:2" x14ac:dyDescent="0.3">
      <c r="A45" s="90"/>
      <c r="B45" s="41" t="str">
        <f>REPLACE('5 Public Non-Charter Minority'!$A$20,9,1,"")</f>
        <v>Table 42. College Enrollment Rates in the First Year after High School Graduation for Classes 2022 and 2023, Student-Weighted Totals</v>
      </c>
    </row>
    <row r="46" spans="1:2" x14ac:dyDescent="0.3">
      <c r="A46" s="90"/>
      <c r="B46" s="41" t="str">
        <f>REPLACE('5 Public Non-Charter Minority'!$A$26,9,1,"")</f>
        <v>Table 43. College Enrollment Rates in the First Two Years after High School Graduation for Classes 2021 and 2022, School Percentile Distribution</v>
      </c>
    </row>
    <row r="47" spans="1:2" x14ac:dyDescent="0.3">
      <c r="A47" s="90"/>
      <c r="B47" s="41" t="str">
        <f>REPLACE('5 Public Non-Charter Minority'!$A$31,9,1,"")</f>
        <v>Table 44. College Enrollment Rates in the First Two Years after High School Graduation for Classes 2021 and 2022, Student-Weighted Totals</v>
      </c>
    </row>
    <row r="48" spans="1:2" x14ac:dyDescent="0.3">
      <c r="A48" s="90"/>
      <c r="B48" s="41" t="str">
        <f>REPLACE('5 Public Non-Charter Minority'!$A$37,9,1,"")</f>
        <v>Table 45. Persistence Rates from First to Second Year of College for Class of 2021 and 2022, School Percentile Distribution</v>
      </c>
    </row>
    <row r="49" spans="1:2" x14ac:dyDescent="0.3">
      <c r="A49" s="90"/>
      <c r="B49" s="41" t="str">
        <f>REPLACE('5 Public Non-Charter Minority'!$A$42,9,1,"")</f>
        <v>Table 46. Persistence Rates from First to Second Year of College for Class of 2021 and 2022, Student-Weighted Totals</v>
      </c>
    </row>
    <row r="50" spans="1:2" x14ac:dyDescent="0.3">
      <c r="A50" s="90"/>
      <c r="B50" s="41" t="str">
        <f>REPLACE('5 Public Non-Charter Minority'!$A$48,9,1,"")</f>
        <v>Table 47. Six-Year Completion Rates for Class of 2017 and 2018, School Percentile Distribution</v>
      </c>
    </row>
    <row r="51" spans="1:2" x14ac:dyDescent="0.3">
      <c r="A51" s="91"/>
      <c r="B51" s="43" t="str">
        <f>REPLACE('5 Public Non-Charter Minority'!$A$53,9,1,"")</f>
        <v>Table 48. Six-Year Completion Rates for Class of 2017 and 2018, Student-Weighted Totals</v>
      </c>
    </row>
    <row r="52" spans="1:2" x14ac:dyDescent="0.3">
      <c r="A52" s="89" t="s">
        <v>8</v>
      </c>
      <c r="B52" s="42" t="str">
        <f>REPLACE('6 Public Non-Charter Urbanicity'!$A$4,9,1,"")</f>
        <v>Table 49. College Enrollment Rates in the First Fall after High School Graduation for Classes 2023 and 2024, School Percentile Distribution</v>
      </c>
    </row>
    <row r="53" spans="1:2" x14ac:dyDescent="0.3">
      <c r="A53" s="90"/>
      <c r="B53" s="41" t="str">
        <f>REPLACE('6 Public Non-Charter Urbanicity'!$A$9,9,1,"")</f>
        <v>Table 50. College Enrollment Rates in the First Fall after High School Graduation for Classes 2023 and 2024, Student-Weighted Totals</v>
      </c>
    </row>
    <row r="54" spans="1:2" x14ac:dyDescent="0.3">
      <c r="A54" s="90"/>
      <c r="B54" s="41" t="str">
        <f>REPLACE('6 Public Non-Charter Urbanicity'!$A$15,9,1,"")</f>
        <v>Table 51. College Enrollment Rates in the First Year after High School Graduation for Classes 2022 and 2023, School Percentile Distribution</v>
      </c>
    </row>
    <row r="55" spans="1:2" x14ac:dyDescent="0.3">
      <c r="A55" s="90"/>
      <c r="B55" s="41" t="str">
        <f>REPLACE('6 Public Non-Charter Urbanicity'!$A$20,9,1,"")</f>
        <v>Table 52. College Enrollment Rates in the First Year after High School Graduation for Classes 2022 and 2023, Student-Weighted Totals</v>
      </c>
    </row>
    <row r="56" spans="1:2" x14ac:dyDescent="0.3">
      <c r="A56" s="90"/>
      <c r="B56" s="41" t="str">
        <f>REPLACE('6 Public Non-Charter Urbanicity'!$A$26,9,1,"")</f>
        <v>Table 53. College Enrollment Rates in the First Two Years after High School Graduation for Classes 2021 and 2022, School Percentile Distribution</v>
      </c>
    </row>
    <row r="57" spans="1:2" x14ac:dyDescent="0.3">
      <c r="A57" s="90"/>
      <c r="B57" s="41" t="str">
        <f>REPLACE('6 Public Non-Charter Urbanicity'!$A$31,9,1,"")</f>
        <v>Table 54. College Enrollment Rates in the First Two Years after High School Graduation for Classes 2021 and 2022, Student-Weighted Totals</v>
      </c>
    </row>
    <row r="58" spans="1:2" x14ac:dyDescent="0.3">
      <c r="A58" s="90"/>
      <c r="B58" s="41" t="str">
        <f>REPLACE('6 Public Non-Charter Urbanicity'!$A$37,9,1,"")</f>
        <v>Table 55. Persistence Rates from First to Second Year of College for Class of 2021 and 2022, School Percentile Distribution</v>
      </c>
    </row>
    <row r="59" spans="1:2" x14ac:dyDescent="0.3">
      <c r="A59" s="90"/>
      <c r="B59" s="41" t="str">
        <f>REPLACE('6 Public Non-Charter Urbanicity'!$A$42,9,1,"")</f>
        <v>Table 56. Persistence Rates from First to Second Year of College for Class of 2021 and 2022, Student-Weighted Totals</v>
      </c>
    </row>
    <row r="60" spans="1:2" x14ac:dyDescent="0.3">
      <c r="A60" s="90"/>
      <c r="B60" s="41" t="str">
        <f>REPLACE('6 Public Non-Charter Urbanicity'!$A$48,9,1,"")</f>
        <v>Table 57. Six-Year Completion Rates for Class of 2017 and 2018, School Percentile Distribution</v>
      </c>
    </row>
    <row r="61" spans="1:2" x14ac:dyDescent="0.3">
      <c r="A61" s="91"/>
      <c r="B61" s="43" t="str">
        <f>REPLACE('6 Public Non-Charter Urbanicity'!$A$53,9,1,"")</f>
        <v>Table 58. Six-Year Completion Rates for Class of 2017 and 2018, Student-Weighted Totals</v>
      </c>
    </row>
    <row r="62" spans="1:2" x14ac:dyDescent="0.3">
      <c r="A62" s="89" t="s">
        <v>9</v>
      </c>
      <c r="B62" s="42" t="str">
        <f>'7 Public Charter Schools'!$A$4</f>
        <v>Table 59. College Enrollment Rates in the First Fall after High School Graduation for Classes 2023 and 2024, School Percentile Distribution</v>
      </c>
    </row>
    <row r="63" spans="1:2" x14ac:dyDescent="0.3">
      <c r="A63" s="90"/>
      <c r="B63" s="41" t="str">
        <f>'7 Public Charter Schools'!$A$9</f>
        <v>Table 60. College Enrollment Rates in the First Fall after High School Graduation for Classes 2023 and 2024, Student-Weighted Totals</v>
      </c>
    </row>
    <row r="64" spans="1:2" x14ac:dyDescent="0.3">
      <c r="A64" s="90"/>
      <c r="B64" s="41" t="str">
        <f>'7 Public Charter Schools'!$A$15</f>
        <v>Table 61. College Enrollment Rates in the First Year after High School Graduation for Classes 2022 and 2023, School Percentile Distribution</v>
      </c>
    </row>
    <row r="65" spans="1:2" x14ac:dyDescent="0.3">
      <c r="A65" s="90"/>
      <c r="B65" s="41" t="str">
        <f>'7 Public Charter Schools'!$A$20</f>
        <v>Table 62. College Enrollment Rates in the First Year after High School Graduation for Classes 2022 and 2023, Student-Weighted Totals</v>
      </c>
    </row>
    <row r="66" spans="1:2" x14ac:dyDescent="0.3">
      <c r="A66" s="90"/>
      <c r="B66" s="41" t="str">
        <f>'7 Public Charter Schools'!$A$26</f>
        <v>Table 63. College Enrollment Rates in the First Two Years after High School Graduation for Classes 2021 and 2022, School Percentile Distribution</v>
      </c>
    </row>
    <row r="67" spans="1:2" x14ac:dyDescent="0.3">
      <c r="A67" s="90"/>
      <c r="B67" s="41" t="str">
        <f>'7 Public Charter Schools'!$A$31</f>
        <v>Table 64. College Enrollment Rates in the First Two Years after High School Graduation for Classes 2021 and 2022, Student-Weighted Totals</v>
      </c>
    </row>
    <row r="68" spans="1:2" x14ac:dyDescent="0.3">
      <c r="A68" s="90"/>
      <c r="B68" s="41" t="str">
        <f>'7 Public Charter Schools'!$A$37</f>
        <v>Table 65. Persistence Rates from First to Second Year of College for Class of 2021 and 2022, School Percentile Distribution</v>
      </c>
    </row>
    <row r="69" spans="1:2" x14ac:dyDescent="0.3">
      <c r="A69" s="90"/>
      <c r="B69" s="41" t="str">
        <f>'7 Public Charter Schools'!$A$42</f>
        <v>Table 66. Persistence Rates from First to Second Year of College for Class of 2021 and 2022, Student-Weighted Totals</v>
      </c>
    </row>
    <row r="70" spans="1:2" x14ac:dyDescent="0.3">
      <c r="A70" s="90"/>
      <c r="B70" s="41" t="str">
        <f>'7 Public Charter Schools'!$A$48</f>
        <v>Table 67. Six-Year Completion Rates for Class of 2017 and 2018, School Percentile Distribution</v>
      </c>
    </row>
    <row r="71" spans="1:2" x14ac:dyDescent="0.3">
      <c r="A71" s="91"/>
      <c r="B71" s="88" t="str">
        <f>'7 Public Charter Schools'!$A$53</f>
        <v>Table 68. Six-Year Completion Rates for Class of 2017 and 2018, Student-Weighted Totals</v>
      </c>
    </row>
    <row r="72" spans="1:2" x14ac:dyDescent="0.3">
      <c r="A72" s="89" t="s">
        <v>10</v>
      </c>
      <c r="B72" s="42" t="str">
        <f>'8 Private Schools'!$A$4</f>
        <v>Table 69. College Enrollment Rates in the First Fall after High School Graduation for Classes 2023 and 2024, School Percentile Distribution</v>
      </c>
    </row>
    <row r="73" spans="1:2" x14ac:dyDescent="0.3">
      <c r="A73" s="90"/>
      <c r="B73" s="41" t="str">
        <f>'8 Private Schools'!$A$9</f>
        <v>Table 70. College Enrollment Rates in the First Fall after High School Graduation for Classes 2023 and 2024, Student-Weighted Totals</v>
      </c>
    </row>
    <row r="74" spans="1:2" x14ac:dyDescent="0.3">
      <c r="A74" s="90"/>
      <c r="B74" s="41" t="str">
        <f>'8 Private Schools'!$A$15</f>
        <v>Table 71. College Enrollment Rates in the First Year after High School Graduation for Classes 2022 and 2023, School Percentile Distribution</v>
      </c>
    </row>
    <row r="75" spans="1:2" x14ac:dyDescent="0.3">
      <c r="A75" s="90"/>
      <c r="B75" s="41" t="str">
        <f>'8 Private Schools'!$A$20</f>
        <v>Table 72. College Enrollment Rates in the First Year after High School Graduation for Classes 2022 and 2023, Student-Weighted Totals</v>
      </c>
    </row>
    <row r="76" spans="1:2" x14ac:dyDescent="0.3">
      <c r="A76" s="90"/>
      <c r="B76" s="41" t="str">
        <f>'8 Private Schools'!$A$26</f>
        <v>Table 73. College Enrollment Rates in the First Two Years after High School Graduation for Classes 2021 and 2022, School Percentile Distribution</v>
      </c>
    </row>
    <row r="77" spans="1:2" x14ac:dyDescent="0.3">
      <c r="A77" s="90"/>
      <c r="B77" s="41" t="str">
        <f>'8 Private Schools'!$A$31</f>
        <v>Table 74. College Enrollment Rates in the First Two Years after High School Graduation for Classes 2021 and 2022, Student-Weighted Totals</v>
      </c>
    </row>
    <row r="78" spans="1:2" x14ac:dyDescent="0.3">
      <c r="A78" s="90"/>
      <c r="B78" s="41" t="str">
        <f>'8 Private Schools'!$A$37</f>
        <v>Table 75. Persistence Rates from First to Second Year of College for Class of 2021 and 2022, School Percentile Distribution</v>
      </c>
    </row>
    <row r="79" spans="1:2" x14ac:dyDescent="0.3">
      <c r="A79" s="90"/>
      <c r="B79" s="41" t="str">
        <f>'8 Private Schools'!$A$42</f>
        <v>Table 76. Persistence Rates from First to Second Year of College for Class of 2021 and 2022, Student-Weighted Totals</v>
      </c>
    </row>
    <row r="80" spans="1:2" x14ac:dyDescent="0.3">
      <c r="A80" s="90"/>
      <c r="B80" s="41" t="str">
        <f>'8 Private Schools'!$A$48</f>
        <v>Table 77. Six-Year Completion Rates for Class of 2017 and 2018, School Percentile Distribution</v>
      </c>
    </row>
    <row r="81" spans="1:2" x14ac:dyDescent="0.3">
      <c r="A81" s="91"/>
      <c r="B81" s="88" t="str">
        <f>'8 Private Schools'!$A$53</f>
        <v>Table 78. Six-Year Completion Rates for Class of 2017 and 2018, Student-Weighted Totals</v>
      </c>
    </row>
    <row r="82" spans="1:2" x14ac:dyDescent="0.3">
      <c r="A82" s="92" t="s">
        <v>135</v>
      </c>
      <c r="B82" s="42" t="str">
        <f>REPLACE('9 Income Trend Adjustment'!$A$5,9,1,"")</f>
        <v>Table 79. Low-Income High School and Student Counts Class of 2018 to Class of 2024</v>
      </c>
    </row>
    <row r="83" spans="1:2" x14ac:dyDescent="0.3">
      <c r="A83" s="93"/>
      <c r="B83" s="41" t="str">
        <f>REPLACE('9 Income Trend Adjustment'!$A$29,9,1,"")</f>
        <v>Table 80. College Enrollment Rates in the First Fall after High School Graduation for Class of 2024 and Class of 2024 Adjusted to 2023 High School Income Designations</v>
      </c>
    </row>
    <row r="84" spans="1:2" x14ac:dyDescent="0.3">
      <c r="A84" s="93"/>
      <c r="B84" s="41" t="str">
        <f>REPLACE('9 Income Trend Adjustment'!$A$35,9,1,"")</f>
        <v>Table 81. College Enrollment Rates in the First Year after High School Graduation for Class of 2023 and Class of 2023 Adjusted to 2022 High School Income Designations</v>
      </c>
    </row>
    <row r="85" spans="1:2" x14ac:dyDescent="0.3">
      <c r="A85" s="93"/>
      <c r="B85" s="41" t="str">
        <f>REPLACE('9 Income Trend Adjustment'!$A$41,9,1,"")</f>
        <v>Table 82. College Enrollment Rates in the First Fall after High School Graduation for Class of 2024 and Class of 2024 Adjusted to 2023 High School Income Designations by Minority Levels</v>
      </c>
    </row>
    <row r="86" spans="1:2" x14ac:dyDescent="0.3">
      <c r="A86" s="93"/>
      <c r="B86" s="43" t="str">
        <f>REPLACE('9 Income Trend Adjustment'!$A$60,9,1,"")</f>
        <v>Table 83. College Enrollment Rates in the First Year after High School Graduation for Class of 2023 and Class of 2023 Adjusted to 2022 High School Income Designations by Minority Levels</v>
      </c>
    </row>
    <row r="87" spans="1:2" x14ac:dyDescent="0.3">
      <c r="A87" s="92" t="s">
        <v>136</v>
      </c>
      <c r="B87" s="41" t="str">
        <f>REPLACE('10 Poverty Trend Adjustment'!$A$5,9,1,"")</f>
        <v>Table 84. High-Poverty High School and Student Counts Class of 2018 to Class of 2024</v>
      </c>
    </row>
    <row r="88" spans="1:2" x14ac:dyDescent="0.3">
      <c r="A88" s="93"/>
      <c r="B88" s="41" t="str">
        <f>REPLACE('10 Poverty Trend Adjustment'!$A$29,9,1,"")</f>
        <v>Table 85. College Enrollment Rates in the First Fall after High School Graduation for Class of 2024 and Class of 2024 Adjusted to 2023 High School Income Designations</v>
      </c>
    </row>
    <row r="89" spans="1:2" x14ac:dyDescent="0.3">
      <c r="A89" s="93"/>
      <c r="B89" s="43" t="str">
        <f>REPLACE('10 Poverty Trend Adjustment'!$A$35,9,1,"")</f>
        <v>Table 86. College Enrollment Rates in the First Year after High School Graduation for Class of 2023 and Class of 2023 Adjusted to 2022 High School Income Designations</v>
      </c>
    </row>
  </sheetData>
  <mergeCells count="12">
    <mergeCell ref="A42:A51"/>
    <mergeCell ref="A32:A41"/>
    <mergeCell ref="A1:B1"/>
    <mergeCell ref="A2:B2"/>
    <mergeCell ref="A4:A18"/>
    <mergeCell ref="A19:A21"/>
    <mergeCell ref="A22:A31"/>
    <mergeCell ref="A52:A61"/>
    <mergeCell ref="A62:A71"/>
    <mergeCell ref="A72:A81"/>
    <mergeCell ref="A82:A86"/>
    <mergeCell ref="A87:A8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AD2DB-5D4D-4DBA-88F5-0D2280E4197D}">
  <dimension ref="A1:V76"/>
  <sheetViews>
    <sheetView topLeftCell="A24" zoomScale="90" zoomScaleNormal="90" workbookViewId="0">
      <selection activeCell="A2" sqref="A2"/>
    </sheetView>
  </sheetViews>
  <sheetFormatPr defaultRowHeight="14.4" x14ac:dyDescent="0.3"/>
  <cols>
    <col min="1" max="1" width="15.6640625" customWidth="1"/>
    <col min="2" max="2" width="13" customWidth="1"/>
    <col min="3" max="3" width="14.44140625" customWidth="1"/>
    <col min="4" max="4" width="13.6640625" customWidth="1"/>
    <col min="5" max="9" width="12.88671875" customWidth="1"/>
    <col min="12" max="12" width="19" customWidth="1"/>
    <col min="13" max="13" width="16.21875" customWidth="1"/>
    <col min="14" max="14" width="13" customWidth="1"/>
    <col min="15" max="15" width="14.44140625" customWidth="1"/>
    <col min="16" max="16" width="13.6640625" customWidth="1"/>
    <col min="17" max="17" width="13.77734375" customWidth="1"/>
    <col min="18" max="20" width="12.88671875" customWidth="1"/>
  </cols>
  <sheetData>
    <row r="1" spans="1:17" ht="36" customHeight="1" x14ac:dyDescent="0.3">
      <c r="A1" s="84" t="s">
        <v>137</v>
      </c>
    </row>
    <row r="3" spans="1:17" ht="18" x14ac:dyDescent="0.35">
      <c r="A3" s="118" t="s">
        <v>121</v>
      </c>
      <c r="B3" s="106"/>
      <c r="C3" s="106"/>
      <c r="D3" s="106"/>
      <c r="E3" s="106"/>
      <c r="M3" s="118" t="s">
        <v>122</v>
      </c>
      <c r="N3" s="106"/>
      <c r="O3" s="106"/>
      <c r="P3" s="106"/>
      <c r="Q3" s="106"/>
    </row>
    <row r="4" spans="1:17" x14ac:dyDescent="0.3">
      <c r="A4" s="30"/>
      <c r="B4" s="30"/>
      <c r="C4" s="30"/>
      <c r="D4" s="30"/>
      <c r="E4" s="30"/>
      <c r="M4" s="30"/>
      <c r="N4" s="30"/>
      <c r="O4" s="30"/>
      <c r="P4" s="30"/>
      <c r="Q4" s="30"/>
    </row>
    <row r="5" spans="1:17" x14ac:dyDescent="0.3">
      <c r="A5" s="2" t="str">
        <f>CONCATENATE("Table 79a. Low-Income High School and Student Counts ",A7," to ",A11)</f>
        <v>Table 79a. Low-Income High School and Student Counts Class of 2018 to Class of 2024</v>
      </c>
      <c r="B5" s="30"/>
      <c r="C5" s="30"/>
      <c r="D5" s="30"/>
      <c r="E5" s="30"/>
      <c r="M5" s="2" t="str">
        <f>CONCATENATE("Table 79b. Higher-Income High School and Student Counts ",M7," to ",M11)</f>
        <v>Table 79b. Higher-Income High School and Student Counts Class of 2018 to Class of 2024</v>
      </c>
      <c r="N5" s="30"/>
      <c r="O5" s="30"/>
      <c r="P5" s="30"/>
      <c r="Q5" s="30"/>
    </row>
    <row r="6" spans="1:17" ht="34.950000000000003" customHeight="1" x14ac:dyDescent="0.3">
      <c r="A6" s="67" t="s">
        <v>56</v>
      </c>
      <c r="B6" s="67" t="s">
        <v>57</v>
      </c>
      <c r="C6" s="67" t="s">
        <v>58</v>
      </c>
      <c r="D6" s="67" t="s">
        <v>59</v>
      </c>
      <c r="E6" s="67" t="s">
        <v>60</v>
      </c>
      <c r="M6" s="67" t="s">
        <v>56</v>
      </c>
      <c r="N6" s="67" t="s">
        <v>57</v>
      </c>
      <c r="O6" s="67" t="s">
        <v>58</v>
      </c>
      <c r="P6" s="67" t="s">
        <v>59</v>
      </c>
      <c r="Q6" s="67" t="s">
        <v>60</v>
      </c>
    </row>
    <row r="7" spans="1:17" x14ac:dyDescent="0.3">
      <c r="A7" s="80" t="s">
        <v>64</v>
      </c>
      <c r="B7" s="15">
        <v>3890</v>
      </c>
      <c r="C7" s="15">
        <v>7134</v>
      </c>
      <c r="D7" s="15">
        <v>758814</v>
      </c>
      <c r="E7" s="15">
        <v>1212659</v>
      </c>
      <c r="M7" s="80" t="s">
        <v>64</v>
      </c>
      <c r="N7" s="15">
        <v>7075</v>
      </c>
      <c r="O7" s="15">
        <v>9971</v>
      </c>
      <c r="P7" s="15">
        <v>1459413</v>
      </c>
      <c r="Q7" s="15">
        <v>2009876</v>
      </c>
    </row>
    <row r="8" spans="1:17" x14ac:dyDescent="0.3">
      <c r="A8" s="80" t="s">
        <v>61</v>
      </c>
      <c r="B8" s="15">
        <v>3444</v>
      </c>
      <c r="C8" s="15">
        <v>6155</v>
      </c>
      <c r="D8" s="15">
        <v>682362</v>
      </c>
      <c r="E8" s="15">
        <v>1067365</v>
      </c>
      <c r="M8" s="80" t="s">
        <v>61</v>
      </c>
      <c r="N8" s="15">
        <v>7758</v>
      </c>
      <c r="O8" s="15">
        <v>10992</v>
      </c>
      <c r="P8" s="15">
        <v>1559760</v>
      </c>
      <c r="Q8" s="15">
        <v>2159537</v>
      </c>
    </row>
    <row r="9" spans="1:17" x14ac:dyDescent="0.3">
      <c r="A9" s="80" t="s">
        <v>62</v>
      </c>
      <c r="B9" s="15">
        <v>3187</v>
      </c>
      <c r="C9" s="15">
        <v>5919</v>
      </c>
      <c r="D9" s="15">
        <v>656464</v>
      </c>
      <c r="E9" s="15">
        <v>1034721</v>
      </c>
      <c r="M9" s="80" t="s">
        <v>62</v>
      </c>
      <c r="N9" s="15">
        <v>8046</v>
      </c>
      <c r="O9" s="15">
        <v>11463</v>
      </c>
      <c r="P9" s="15">
        <v>1575914</v>
      </c>
      <c r="Q9" s="15">
        <v>2174830</v>
      </c>
    </row>
    <row r="10" spans="1:17" x14ac:dyDescent="0.3">
      <c r="A10" s="80" t="s">
        <v>63</v>
      </c>
      <c r="B10" s="15">
        <v>4257</v>
      </c>
      <c r="C10" s="15">
        <v>7713</v>
      </c>
      <c r="D10" s="15">
        <v>822545</v>
      </c>
      <c r="E10" s="15">
        <v>1316376</v>
      </c>
      <c r="M10" s="80" t="s">
        <v>63</v>
      </c>
      <c r="N10" s="15">
        <v>6884</v>
      </c>
      <c r="O10" s="15">
        <v>9731</v>
      </c>
      <c r="P10" s="15">
        <v>1360799</v>
      </c>
      <c r="Q10" s="15">
        <v>1883954</v>
      </c>
    </row>
    <row r="11" spans="1:17" x14ac:dyDescent="0.3">
      <c r="A11" s="80" t="s">
        <v>65</v>
      </c>
      <c r="B11" s="15">
        <v>3987</v>
      </c>
      <c r="C11" s="15">
        <v>8212</v>
      </c>
      <c r="D11" s="15">
        <v>774388</v>
      </c>
      <c r="E11" s="15">
        <v>1385947</v>
      </c>
      <c r="M11" s="80" t="s">
        <v>65</v>
      </c>
      <c r="N11" s="15">
        <v>5567</v>
      </c>
      <c r="O11" s="15">
        <v>9248</v>
      </c>
      <c r="P11" s="15">
        <v>1134045</v>
      </c>
      <c r="Q11" s="15">
        <v>1841232</v>
      </c>
    </row>
    <row r="29" spans="1:22" ht="32.4" customHeight="1" x14ac:dyDescent="0.3">
      <c r="A29" s="111" t="s">
        <v>104</v>
      </c>
      <c r="B29" s="112"/>
      <c r="C29" s="112"/>
      <c r="D29" s="112"/>
      <c r="E29" s="112"/>
      <c r="F29" s="112"/>
      <c r="G29" s="112"/>
      <c r="H29" s="112"/>
      <c r="I29" s="112"/>
      <c r="L29" s="111" t="s">
        <v>106</v>
      </c>
      <c r="M29" s="112"/>
      <c r="N29" s="112"/>
      <c r="O29" s="112"/>
      <c r="P29" s="112"/>
      <c r="Q29" s="112"/>
      <c r="R29" s="112"/>
      <c r="S29" s="112"/>
      <c r="T29" s="112"/>
    </row>
    <row r="30" spans="1:22" ht="28.8" x14ac:dyDescent="0.3">
      <c r="A30" s="55"/>
      <c r="B30" s="56" t="s">
        <v>41</v>
      </c>
      <c r="C30" s="57" t="s">
        <v>42</v>
      </c>
      <c r="D30" s="57" t="s">
        <v>18</v>
      </c>
      <c r="E30" s="57" t="s">
        <v>19</v>
      </c>
      <c r="F30" s="57" t="s">
        <v>43</v>
      </c>
      <c r="G30" s="57" t="s">
        <v>44</v>
      </c>
      <c r="H30" s="57" t="s">
        <v>45</v>
      </c>
      <c r="I30" s="57" t="s">
        <v>46</v>
      </c>
      <c r="L30" s="55"/>
      <c r="M30" s="56" t="s">
        <v>41</v>
      </c>
      <c r="N30" s="57" t="s">
        <v>42</v>
      </c>
      <c r="O30" s="57" t="s">
        <v>18</v>
      </c>
      <c r="P30" s="57" t="s">
        <v>19</v>
      </c>
      <c r="Q30" s="57" t="s">
        <v>43</v>
      </c>
      <c r="R30" s="57" t="s">
        <v>44</v>
      </c>
      <c r="S30" s="57" t="s">
        <v>45</v>
      </c>
      <c r="T30" s="57" t="s">
        <v>46</v>
      </c>
    </row>
    <row r="31" spans="1:22" x14ac:dyDescent="0.3">
      <c r="A31" s="58">
        <v>2024</v>
      </c>
      <c r="B31" s="15">
        <v>384007</v>
      </c>
      <c r="C31" s="11">
        <v>0.52300000000000002</v>
      </c>
      <c r="D31" s="11">
        <v>0.45600000000000002</v>
      </c>
      <c r="E31" s="11">
        <v>6.8000000000000005E-2</v>
      </c>
      <c r="F31" s="11">
        <v>0.21299999999999999</v>
      </c>
      <c r="G31" s="11">
        <v>0.311</v>
      </c>
      <c r="H31" s="11">
        <v>0.46300000000000002</v>
      </c>
      <c r="I31" s="11">
        <v>6.0999999999999999E-2</v>
      </c>
      <c r="L31" s="58">
        <v>2024</v>
      </c>
      <c r="M31" s="15">
        <v>696566</v>
      </c>
      <c r="N31" s="11">
        <v>0.64200000000000002</v>
      </c>
      <c r="O31" s="11">
        <v>0.52</v>
      </c>
      <c r="P31" s="11">
        <v>0.122</v>
      </c>
      <c r="Q31" s="11">
        <v>0.16600000000000001</v>
      </c>
      <c r="R31" s="11">
        <v>0.47599999999999998</v>
      </c>
      <c r="S31" s="11">
        <v>0.48599999999999999</v>
      </c>
      <c r="T31" s="11">
        <v>0.156</v>
      </c>
      <c r="V31" s="28"/>
    </row>
    <row r="32" spans="1:22" x14ac:dyDescent="0.3">
      <c r="A32" s="83" t="s">
        <v>105</v>
      </c>
      <c r="B32" s="15">
        <v>365671</v>
      </c>
      <c r="C32" s="11">
        <v>0.51900000000000002</v>
      </c>
      <c r="D32" s="11">
        <v>0.45200000000000001</v>
      </c>
      <c r="E32" s="11">
        <v>6.8000000000000005E-2</v>
      </c>
      <c r="F32" s="11">
        <v>0.216</v>
      </c>
      <c r="G32" s="11">
        <v>0.30399999999999999</v>
      </c>
      <c r="H32" s="11">
        <v>0.46</v>
      </c>
      <c r="I32" s="11">
        <v>5.8999999999999997E-2</v>
      </c>
      <c r="L32" s="83" t="s">
        <v>105</v>
      </c>
      <c r="M32" s="15">
        <v>714902</v>
      </c>
      <c r="N32" s="11">
        <v>0.64100000000000001</v>
      </c>
      <c r="O32" s="11">
        <v>0.52100000000000002</v>
      </c>
      <c r="P32" s="11">
        <v>0.121</v>
      </c>
      <c r="Q32" s="11">
        <v>0.16600000000000001</v>
      </c>
      <c r="R32" s="11">
        <v>0.47599999999999998</v>
      </c>
      <c r="S32" s="11">
        <v>0.48699999999999999</v>
      </c>
      <c r="T32" s="11">
        <v>0.154</v>
      </c>
      <c r="V32" s="28"/>
    </row>
    <row r="35" spans="1:22" ht="32.4" customHeight="1" x14ac:dyDescent="0.3">
      <c r="A35" s="112" t="s">
        <v>107</v>
      </c>
      <c r="B35" s="112"/>
      <c r="C35" s="112"/>
      <c r="D35" s="112"/>
      <c r="E35" s="112"/>
      <c r="F35" s="112"/>
      <c r="G35" s="112"/>
      <c r="H35" s="112"/>
      <c r="I35" s="112"/>
      <c r="L35" s="111" t="s">
        <v>108</v>
      </c>
      <c r="M35" s="112"/>
      <c r="N35" s="112"/>
      <c r="O35" s="112"/>
      <c r="P35" s="112"/>
      <c r="Q35" s="112"/>
      <c r="R35" s="112"/>
      <c r="S35" s="112"/>
      <c r="T35" s="112"/>
    </row>
    <row r="36" spans="1:22" ht="28.8" x14ac:dyDescent="0.3">
      <c r="A36" s="55"/>
      <c r="B36" s="56" t="s">
        <v>41</v>
      </c>
      <c r="C36" s="57" t="s">
        <v>42</v>
      </c>
      <c r="D36" s="57" t="s">
        <v>18</v>
      </c>
      <c r="E36" s="57" t="s">
        <v>19</v>
      </c>
      <c r="F36" s="57" t="s">
        <v>43</v>
      </c>
      <c r="G36" s="57" t="s">
        <v>44</v>
      </c>
      <c r="H36" s="57" t="s">
        <v>45</v>
      </c>
      <c r="I36" s="57" t="s">
        <v>46</v>
      </c>
      <c r="L36" s="55"/>
      <c r="M36" s="56" t="s">
        <v>41</v>
      </c>
      <c r="N36" s="57" t="s">
        <v>42</v>
      </c>
      <c r="O36" s="57" t="s">
        <v>18</v>
      </c>
      <c r="P36" s="57" t="s">
        <v>19</v>
      </c>
      <c r="Q36" s="57" t="s">
        <v>43</v>
      </c>
      <c r="R36" s="57" t="s">
        <v>44</v>
      </c>
      <c r="S36" s="57" t="s">
        <v>45</v>
      </c>
      <c r="T36" s="57" t="s">
        <v>46</v>
      </c>
    </row>
    <row r="37" spans="1:22" x14ac:dyDescent="0.3">
      <c r="A37" s="58">
        <v>2023</v>
      </c>
      <c r="B37" s="15">
        <v>426544</v>
      </c>
      <c r="C37" s="11">
        <v>0.55900000000000005</v>
      </c>
      <c r="D37" s="11">
        <v>0.48199999999999998</v>
      </c>
      <c r="E37" s="11">
        <v>7.8E-2</v>
      </c>
      <c r="F37" s="11">
        <v>0.23</v>
      </c>
      <c r="G37" s="11">
        <v>0.33</v>
      </c>
      <c r="H37" s="11">
        <v>0.49399999999999999</v>
      </c>
      <c r="I37" s="11">
        <v>6.5000000000000002E-2</v>
      </c>
      <c r="L37" s="58">
        <v>2023</v>
      </c>
      <c r="M37" s="15">
        <v>870174</v>
      </c>
      <c r="N37" s="11">
        <v>0.67200000000000004</v>
      </c>
      <c r="O37" s="11">
        <v>0.53300000000000003</v>
      </c>
      <c r="P37" s="11">
        <v>0.13900000000000001</v>
      </c>
      <c r="Q37" s="11">
        <v>0.17100000000000001</v>
      </c>
      <c r="R37" s="11">
        <v>0.501</v>
      </c>
      <c r="S37" s="11">
        <v>0.504</v>
      </c>
      <c r="T37" s="11">
        <v>0.16800000000000001</v>
      </c>
      <c r="V37" s="28"/>
    </row>
    <row r="38" spans="1:22" x14ac:dyDescent="0.3">
      <c r="A38" s="83" t="s">
        <v>113</v>
      </c>
      <c r="B38" s="15">
        <v>327772</v>
      </c>
      <c r="C38" s="11">
        <v>0.56399999999999995</v>
      </c>
      <c r="D38" s="11">
        <v>0.49</v>
      </c>
      <c r="E38" s="11">
        <v>7.3999999999999996E-2</v>
      </c>
      <c r="F38" s="11">
        <v>0.24399999999999999</v>
      </c>
      <c r="G38" s="11">
        <v>0.32</v>
      </c>
      <c r="H38" s="11">
        <v>0.504</v>
      </c>
      <c r="I38" s="11">
        <v>0.06</v>
      </c>
      <c r="L38" s="83" t="s">
        <v>113</v>
      </c>
      <c r="M38" s="15">
        <v>968946</v>
      </c>
      <c r="N38" s="11">
        <v>0.65600000000000003</v>
      </c>
      <c r="O38" s="11">
        <v>0.52300000000000002</v>
      </c>
      <c r="P38" s="11">
        <v>0.13300000000000001</v>
      </c>
      <c r="Q38" s="11">
        <v>0.17199999999999999</v>
      </c>
      <c r="R38" s="11">
        <v>0.48399999999999999</v>
      </c>
      <c r="S38" s="11">
        <v>0.499</v>
      </c>
      <c r="T38" s="11">
        <v>0.158</v>
      </c>
      <c r="V38" s="28"/>
    </row>
    <row r="41" spans="1:22" ht="29.4" customHeight="1" x14ac:dyDescent="0.3">
      <c r="A41" s="111" t="s">
        <v>109</v>
      </c>
      <c r="B41" s="112"/>
      <c r="C41" s="112"/>
      <c r="D41" s="112"/>
      <c r="E41" s="112"/>
      <c r="F41" s="112"/>
      <c r="G41" s="112"/>
      <c r="H41" s="112"/>
      <c r="I41" s="112"/>
      <c r="L41" s="111" t="s">
        <v>110</v>
      </c>
      <c r="M41" s="112"/>
      <c r="N41" s="112"/>
      <c r="O41" s="112"/>
      <c r="P41" s="112"/>
      <c r="Q41" s="112"/>
      <c r="R41" s="112"/>
      <c r="S41" s="112"/>
      <c r="T41" s="112"/>
    </row>
    <row r="42" spans="1:22" x14ac:dyDescent="0.3">
      <c r="A42" s="79"/>
      <c r="B42" s="117">
        <v>2024</v>
      </c>
      <c r="C42" s="114"/>
      <c r="D42" s="75"/>
      <c r="E42" s="113" t="s">
        <v>114</v>
      </c>
      <c r="F42" s="114"/>
      <c r="L42" s="66"/>
      <c r="M42" s="117">
        <v>2024</v>
      </c>
      <c r="N42" s="114"/>
      <c r="P42" s="113" t="s">
        <v>114</v>
      </c>
      <c r="Q42" s="114"/>
    </row>
    <row r="43" spans="1:22" ht="43.2" x14ac:dyDescent="0.3">
      <c r="A43" s="21"/>
      <c r="B43" s="85" t="s">
        <v>26</v>
      </c>
      <c r="C43" s="86" t="s">
        <v>27</v>
      </c>
      <c r="D43" s="24"/>
      <c r="E43" s="85" t="s">
        <v>26</v>
      </c>
      <c r="F43" s="85" t="s">
        <v>27</v>
      </c>
      <c r="L43" s="21"/>
      <c r="M43" s="85" t="s">
        <v>28</v>
      </c>
      <c r="N43" s="85" t="s">
        <v>29</v>
      </c>
      <c r="O43" s="24"/>
      <c r="P43" s="87" t="s">
        <v>28</v>
      </c>
      <c r="Q43" s="85" t="s">
        <v>29</v>
      </c>
    </row>
    <row r="44" spans="1:22" x14ac:dyDescent="0.3">
      <c r="A44" s="115" t="s">
        <v>15</v>
      </c>
      <c r="B44" s="11">
        <v>0.53300000000000003</v>
      </c>
      <c r="C44" s="11">
        <v>0.49199999999999999</v>
      </c>
      <c r="D44" s="77"/>
      <c r="E44" s="11">
        <v>0.52800000000000002</v>
      </c>
      <c r="F44" s="11">
        <v>0.48799999999999999</v>
      </c>
      <c r="L44" s="115" t="s">
        <v>15</v>
      </c>
      <c r="M44" s="11">
        <v>0.59499999999999997</v>
      </c>
      <c r="N44" s="11">
        <v>0.65400000000000003</v>
      </c>
      <c r="O44" s="77"/>
      <c r="P44" s="11">
        <v>0.60699999999999998</v>
      </c>
      <c r="Q44" s="11">
        <v>0.65</v>
      </c>
    </row>
    <row r="45" spans="1:22" x14ac:dyDescent="0.3">
      <c r="A45" s="116"/>
      <c r="B45" s="15">
        <v>297299</v>
      </c>
      <c r="C45" s="15">
        <v>86708</v>
      </c>
      <c r="D45" s="78"/>
      <c r="E45" s="15">
        <v>292487</v>
      </c>
      <c r="F45" s="15">
        <v>73184</v>
      </c>
      <c r="L45" s="116"/>
      <c r="M45" s="15">
        <v>130247</v>
      </c>
      <c r="N45" s="15">
        <v>566319</v>
      </c>
      <c r="O45" s="78"/>
      <c r="P45" s="15">
        <v>135059</v>
      </c>
      <c r="Q45" s="15">
        <v>579843</v>
      </c>
    </row>
    <row r="46" spans="1:22" x14ac:dyDescent="0.3">
      <c r="A46" s="115" t="s">
        <v>18</v>
      </c>
      <c r="B46" s="11">
        <v>0.46800000000000003</v>
      </c>
      <c r="C46" s="11">
        <v>0.41699999999999998</v>
      </c>
      <c r="D46" s="77"/>
      <c r="E46" s="11">
        <v>0.46200000000000002</v>
      </c>
      <c r="F46" s="11">
        <v>0.41099999999999998</v>
      </c>
      <c r="L46" s="115" t="s">
        <v>18</v>
      </c>
      <c r="M46" s="11">
        <v>0.501</v>
      </c>
      <c r="N46" s="11">
        <v>0.52500000000000002</v>
      </c>
      <c r="O46" s="77"/>
      <c r="P46" s="11">
        <v>0.51400000000000001</v>
      </c>
      <c r="Q46" s="11">
        <v>0.52300000000000002</v>
      </c>
    </row>
    <row r="47" spans="1:22" x14ac:dyDescent="0.3">
      <c r="A47" s="116"/>
      <c r="B47" s="15">
        <v>260830</v>
      </c>
      <c r="C47" s="15">
        <v>73484</v>
      </c>
      <c r="D47" s="78"/>
      <c r="E47" s="15">
        <v>256272</v>
      </c>
      <c r="F47" s="15">
        <v>61718</v>
      </c>
      <c r="L47" s="116"/>
      <c r="M47" s="15">
        <v>109711</v>
      </c>
      <c r="N47" s="15">
        <v>454483</v>
      </c>
      <c r="O47" s="78"/>
      <c r="P47" s="15">
        <v>114269</v>
      </c>
      <c r="Q47" s="15">
        <v>466249</v>
      </c>
    </row>
    <row r="48" spans="1:22" x14ac:dyDescent="0.3">
      <c r="A48" s="98" t="s">
        <v>19</v>
      </c>
      <c r="B48" s="11">
        <v>6.5000000000000002E-2</v>
      </c>
      <c r="C48" s="11">
        <v>7.4999999999999997E-2</v>
      </c>
      <c r="D48" s="77"/>
      <c r="E48" s="11">
        <v>6.5000000000000002E-2</v>
      </c>
      <c r="F48" s="11">
        <v>7.5999999999999998E-2</v>
      </c>
      <c r="L48" s="98" t="s">
        <v>19</v>
      </c>
      <c r="M48" s="11">
        <v>9.4E-2</v>
      </c>
      <c r="N48" s="11">
        <v>0.129</v>
      </c>
      <c r="O48" s="77"/>
      <c r="P48" s="11">
        <v>9.2999999999999999E-2</v>
      </c>
      <c r="Q48" s="11">
        <v>0.127</v>
      </c>
    </row>
    <row r="49" spans="1:20" x14ac:dyDescent="0.3">
      <c r="A49" s="99"/>
      <c r="B49" s="15">
        <v>36469</v>
      </c>
      <c r="C49" s="15">
        <v>13224</v>
      </c>
      <c r="D49" s="78"/>
      <c r="E49" s="15">
        <v>36215</v>
      </c>
      <c r="F49" s="15">
        <v>11466</v>
      </c>
      <c r="L49" s="99"/>
      <c r="M49" s="15">
        <v>20536</v>
      </c>
      <c r="N49" s="15">
        <v>111836</v>
      </c>
      <c r="O49" s="78"/>
      <c r="P49" s="15">
        <v>20790</v>
      </c>
      <c r="Q49" s="15">
        <v>113594</v>
      </c>
    </row>
    <row r="50" spans="1:20" x14ac:dyDescent="0.3">
      <c r="A50" s="98" t="s">
        <v>17</v>
      </c>
      <c r="B50" s="11">
        <v>0.223</v>
      </c>
      <c r="C50" s="11">
        <v>0.18</v>
      </c>
      <c r="D50" s="77"/>
      <c r="E50" s="11">
        <v>0.22500000000000001</v>
      </c>
      <c r="F50" s="11">
        <v>0.18</v>
      </c>
      <c r="L50" s="98" t="s">
        <v>17</v>
      </c>
      <c r="M50" s="11">
        <v>0.19700000000000001</v>
      </c>
      <c r="N50" s="11">
        <v>0.159</v>
      </c>
      <c r="O50" s="77"/>
      <c r="P50" s="11">
        <v>0.192</v>
      </c>
      <c r="Q50" s="11">
        <v>0.159</v>
      </c>
    </row>
    <row r="51" spans="1:20" x14ac:dyDescent="0.3">
      <c r="A51" s="99"/>
      <c r="B51" s="15">
        <v>124335</v>
      </c>
      <c r="C51" s="15">
        <v>31691</v>
      </c>
      <c r="D51" s="78"/>
      <c r="E51" s="15">
        <v>124822</v>
      </c>
      <c r="F51" s="15">
        <v>26969</v>
      </c>
      <c r="L51" s="99"/>
      <c r="M51" s="15">
        <v>43108</v>
      </c>
      <c r="N51" s="15">
        <v>137369</v>
      </c>
      <c r="O51" s="78"/>
      <c r="P51" s="15">
        <v>42621</v>
      </c>
      <c r="Q51" s="15">
        <v>142091</v>
      </c>
    </row>
    <row r="52" spans="1:20" x14ac:dyDescent="0.3">
      <c r="A52" s="98" t="s">
        <v>16</v>
      </c>
      <c r="B52" s="11">
        <v>0.31</v>
      </c>
      <c r="C52" s="11">
        <v>0.312</v>
      </c>
      <c r="D52" s="77"/>
      <c r="E52" s="11">
        <v>0.30299999999999999</v>
      </c>
      <c r="F52" s="11">
        <v>0.308</v>
      </c>
      <c r="L52" s="98" t="s">
        <v>16</v>
      </c>
      <c r="M52" s="11">
        <v>0.39800000000000002</v>
      </c>
      <c r="N52" s="11">
        <v>0.495</v>
      </c>
      <c r="O52" s="77"/>
      <c r="P52" s="11">
        <v>0.41499999999999998</v>
      </c>
      <c r="Q52" s="11">
        <v>0.49099999999999999</v>
      </c>
    </row>
    <row r="53" spans="1:20" x14ac:dyDescent="0.3">
      <c r="A53" s="99"/>
      <c r="B53" s="15">
        <v>172964</v>
      </c>
      <c r="C53" s="15">
        <v>55017</v>
      </c>
      <c r="D53" s="78"/>
      <c r="E53" s="15">
        <v>167665</v>
      </c>
      <c r="F53" s="15">
        <v>46215</v>
      </c>
      <c r="L53" s="99"/>
      <c r="M53" s="15">
        <v>87139</v>
      </c>
      <c r="N53" s="15">
        <v>428950</v>
      </c>
      <c r="O53" s="78"/>
      <c r="P53" s="15">
        <v>92438</v>
      </c>
      <c r="Q53" s="15">
        <v>437752</v>
      </c>
    </row>
    <row r="54" spans="1:20" x14ac:dyDescent="0.3">
      <c r="A54" s="98" t="s">
        <v>20</v>
      </c>
      <c r="B54" s="11">
        <v>0.47399999999999998</v>
      </c>
      <c r="C54" s="11">
        <v>0.42799999999999999</v>
      </c>
      <c r="D54" s="77"/>
      <c r="E54" s="11">
        <v>0.47</v>
      </c>
      <c r="F54" s="11">
        <v>0.42299999999999999</v>
      </c>
      <c r="L54" s="98" t="s">
        <v>20</v>
      </c>
      <c r="M54" s="11">
        <v>0.48599999999999999</v>
      </c>
      <c r="N54" s="11">
        <v>0.48599999999999999</v>
      </c>
      <c r="O54" s="77"/>
      <c r="P54" s="11">
        <v>0.49399999999999999</v>
      </c>
      <c r="Q54" s="11">
        <v>0.48499999999999999</v>
      </c>
    </row>
    <row r="55" spans="1:20" x14ac:dyDescent="0.3">
      <c r="A55" s="99"/>
      <c r="B55" s="15">
        <v>264184</v>
      </c>
      <c r="C55" s="15">
        <v>75334</v>
      </c>
      <c r="D55" s="78"/>
      <c r="E55" s="15">
        <v>260643</v>
      </c>
      <c r="F55" s="15">
        <v>63404</v>
      </c>
      <c r="L55" s="99"/>
      <c r="M55" s="15">
        <v>106392</v>
      </c>
      <c r="N55" s="15">
        <v>420943</v>
      </c>
      <c r="O55" s="78"/>
      <c r="P55" s="15">
        <v>109933</v>
      </c>
      <c r="Q55" s="15">
        <v>432873</v>
      </c>
    </row>
    <row r="56" spans="1:20" x14ac:dyDescent="0.3">
      <c r="A56" s="98" t="s">
        <v>21</v>
      </c>
      <c r="B56" s="11">
        <v>5.8999999999999997E-2</v>
      </c>
      <c r="C56" s="11">
        <v>6.5000000000000002E-2</v>
      </c>
      <c r="D56" s="77"/>
      <c r="E56" s="11">
        <v>5.7000000000000002E-2</v>
      </c>
      <c r="F56" s="11">
        <v>6.5000000000000002E-2</v>
      </c>
      <c r="L56" s="98" t="s">
        <v>21</v>
      </c>
      <c r="M56" s="11">
        <v>0.109</v>
      </c>
      <c r="N56" s="11">
        <v>0.16800000000000001</v>
      </c>
      <c r="O56" s="77"/>
      <c r="P56" s="11">
        <v>0.113</v>
      </c>
      <c r="Q56" s="11">
        <v>0.16500000000000001</v>
      </c>
    </row>
    <row r="57" spans="1:20" x14ac:dyDescent="0.3">
      <c r="A57" s="99"/>
      <c r="B57" s="15">
        <v>33115</v>
      </c>
      <c r="C57" s="16">
        <v>11374</v>
      </c>
      <c r="D57" s="19"/>
      <c r="E57" s="18">
        <v>31844</v>
      </c>
      <c r="F57" s="15">
        <v>9780</v>
      </c>
      <c r="L57" s="99"/>
      <c r="M57" s="15">
        <v>23855</v>
      </c>
      <c r="N57" s="16">
        <v>145376</v>
      </c>
      <c r="O57" s="19"/>
      <c r="P57" s="18">
        <v>25126</v>
      </c>
      <c r="Q57" s="15">
        <v>146970</v>
      </c>
    </row>
    <row r="60" spans="1:20" ht="28.2" customHeight="1" x14ac:dyDescent="0.3">
      <c r="A60" s="111" t="s">
        <v>111</v>
      </c>
      <c r="B60" s="112"/>
      <c r="C60" s="112"/>
      <c r="D60" s="112"/>
      <c r="E60" s="112"/>
      <c r="F60" s="112"/>
      <c r="G60" s="112"/>
      <c r="H60" s="112"/>
      <c r="I60" s="112"/>
      <c r="L60" s="111" t="s">
        <v>112</v>
      </c>
      <c r="M60" s="112"/>
      <c r="N60" s="112"/>
      <c r="O60" s="112"/>
      <c r="P60" s="112"/>
      <c r="Q60" s="112"/>
      <c r="R60" s="112"/>
      <c r="S60" s="112"/>
      <c r="T60" s="112"/>
    </row>
    <row r="61" spans="1:20" x14ac:dyDescent="0.3">
      <c r="A61" s="79"/>
      <c r="B61" s="117">
        <v>2023</v>
      </c>
      <c r="C61" s="114"/>
      <c r="D61" s="75"/>
      <c r="E61" s="113" t="s">
        <v>113</v>
      </c>
      <c r="F61" s="114"/>
      <c r="L61" s="66"/>
      <c r="M61" s="117">
        <v>2023</v>
      </c>
      <c r="N61" s="114"/>
      <c r="P61" s="113" t="s">
        <v>113</v>
      </c>
      <c r="Q61" s="114"/>
    </row>
    <row r="62" spans="1:20" ht="43.2" x14ac:dyDescent="0.3">
      <c r="A62" s="21"/>
      <c r="B62" s="85" t="s">
        <v>26</v>
      </c>
      <c r="C62" s="86" t="s">
        <v>27</v>
      </c>
      <c r="D62" s="24"/>
      <c r="E62" s="85" t="s">
        <v>26</v>
      </c>
      <c r="F62" s="85" t="s">
        <v>27</v>
      </c>
      <c r="L62" s="21"/>
      <c r="M62" s="85" t="s">
        <v>28</v>
      </c>
      <c r="N62" s="85" t="s">
        <v>29</v>
      </c>
      <c r="O62" s="24"/>
      <c r="P62" s="87" t="s">
        <v>28</v>
      </c>
      <c r="Q62" s="85" t="s">
        <v>29</v>
      </c>
    </row>
    <row r="63" spans="1:20" x14ac:dyDescent="0.3">
      <c r="A63" s="115" t="s">
        <v>15</v>
      </c>
      <c r="B63" s="11">
        <v>0.56499999999999995</v>
      </c>
      <c r="C63" s="11">
        <v>0.54400000000000004</v>
      </c>
      <c r="D63" s="77"/>
      <c r="E63" s="11">
        <v>0.56599999999999995</v>
      </c>
      <c r="F63" s="11">
        <v>0.55600000000000005</v>
      </c>
      <c r="L63" s="115" t="s">
        <v>15</v>
      </c>
      <c r="M63" s="11">
        <v>0.64300000000000002</v>
      </c>
      <c r="N63" s="11">
        <v>0.67800000000000005</v>
      </c>
      <c r="O63" s="77"/>
      <c r="P63" s="11">
        <v>0.61799999999999999</v>
      </c>
      <c r="Q63" s="11">
        <v>0.66800000000000004</v>
      </c>
    </row>
    <row r="64" spans="1:20" x14ac:dyDescent="0.3">
      <c r="A64" s="116"/>
      <c r="B64" s="15">
        <v>317050</v>
      </c>
      <c r="C64" s="15">
        <v>109494</v>
      </c>
      <c r="D64" s="78"/>
      <c r="E64" s="15">
        <v>257336</v>
      </c>
      <c r="F64" s="15">
        <v>70436</v>
      </c>
      <c r="L64" s="116"/>
      <c r="M64" s="15">
        <v>152403</v>
      </c>
      <c r="N64" s="15">
        <v>717771</v>
      </c>
      <c r="O64" s="78"/>
      <c r="P64" s="15">
        <v>212117</v>
      </c>
      <c r="Q64" s="15">
        <v>756829</v>
      </c>
    </row>
    <row r="65" spans="1:17" x14ac:dyDescent="0.3">
      <c r="A65" s="115" t="s">
        <v>18</v>
      </c>
      <c r="B65" s="11">
        <v>0.48899999999999999</v>
      </c>
      <c r="C65" s="11">
        <v>0.46100000000000002</v>
      </c>
      <c r="D65" s="77"/>
      <c r="E65" s="11">
        <v>0.49299999999999999</v>
      </c>
      <c r="F65" s="11">
        <v>0.48</v>
      </c>
      <c r="L65" s="115" t="s">
        <v>18</v>
      </c>
      <c r="M65" s="11">
        <v>0.53900000000000003</v>
      </c>
      <c r="N65" s="11">
        <v>0.53100000000000003</v>
      </c>
      <c r="O65" s="77"/>
      <c r="P65" s="11">
        <v>0.51900000000000002</v>
      </c>
      <c r="Q65" s="11">
        <v>0.52500000000000002</v>
      </c>
    </row>
    <row r="66" spans="1:17" x14ac:dyDescent="0.3">
      <c r="A66" s="116"/>
      <c r="B66" s="15">
        <v>274570</v>
      </c>
      <c r="C66" s="15">
        <v>92884</v>
      </c>
      <c r="D66" s="78"/>
      <c r="E66" s="15">
        <v>224121</v>
      </c>
      <c r="F66" s="15">
        <v>60853</v>
      </c>
      <c r="L66" s="116"/>
      <c r="M66" s="15">
        <v>127771</v>
      </c>
      <c r="N66" s="15">
        <v>562271</v>
      </c>
      <c r="O66" s="78"/>
      <c r="P66" s="15">
        <v>178220</v>
      </c>
      <c r="Q66" s="15">
        <v>594302</v>
      </c>
    </row>
    <row r="67" spans="1:17" x14ac:dyDescent="0.3">
      <c r="A67" s="98" t="s">
        <v>19</v>
      </c>
      <c r="B67" s="11">
        <v>7.5999999999999998E-2</v>
      </c>
      <c r="C67" s="11">
        <v>8.3000000000000004E-2</v>
      </c>
      <c r="D67" s="77"/>
      <c r="E67" s="11">
        <v>7.2999999999999995E-2</v>
      </c>
      <c r="F67" s="11">
        <v>7.5999999999999998E-2</v>
      </c>
      <c r="L67" s="98" t="s">
        <v>19</v>
      </c>
      <c r="M67" s="11">
        <v>0.104</v>
      </c>
      <c r="N67" s="11">
        <v>0.14699999999999999</v>
      </c>
      <c r="O67" s="77"/>
      <c r="P67" s="11">
        <v>9.9000000000000005E-2</v>
      </c>
      <c r="Q67" s="11">
        <v>0.14299999999999999</v>
      </c>
    </row>
    <row r="68" spans="1:17" x14ac:dyDescent="0.3">
      <c r="A68" s="99"/>
      <c r="B68" s="15">
        <v>42480</v>
      </c>
      <c r="C68" s="15">
        <v>16610</v>
      </c>
      <c r="D68" s="78"/>
      <c r="E68" s="15">
        <v>33215</v>
      </c>
      <c r="F68" s="15">
        <v>9583</v>
      </c>
      <c r="L68" s="99"/>
      <c r="M68" s="15">
        <v>24632</v>
      </c>
      <c r="N68" s="15">
        <v>155500</v>
      </c>
      <c r="O68" s="78"/>
      <c r="P68" s="15">
        <v>33897</v>
      </c>
      <c r="Q68" s="15">
        <v>162527</v>
      </c>
    </row>
    <row r="69" spans="1:17" x14ac:dyDescent="0.3">
      <c r="A69" s="98" t="s">
        <v>17</v>
      </c>
      <c r="B69" s="11">
        <v>0.23499999999999999</v>
      </c>
      <c r="C69" s="11">
        <v>0.21299999999999999</v>
      </c>
      <c r="D69" s="77"/>
      <c r="E69" s="11">
        <v>0.247</v>
      </c>
      <c r="F69" s="11">
        <v>0.23300000000000001</v>
      </c>
      <c r="L69" s="98" t="s">
        <v>17</v>
      </c>
      <c r="M69" s="11">
        <v>0.20200000000000001</v>
      </c>
      <c r="N69" s="11">
        <v>0.16400000000000001</v>
      </c>
      <c r="O69" s="77"/>
      <c r="P69" s="11">
        <v>0.19700000000000001</v>
      </c>
      <c r="Q69" s="11">
        <v>0.16500000000000001</v>
      </c>
    </row>
    <row r="70" spans="1:17" x14ac:dyDescent="0.3">
      <c r="A70" s="99"/>
      <c r="B70" s="15">
        <v>132084</v>
      </c>
      <c r="C70" s="15">
        <v>42937</v>
      </c>
      <c r="D70" s="78"/>
      <c r="E70" s="15">
        <v>112219</v>
      </c>
      <c r="F70" s="15">
        <v>29550</v>
      </c>
      <c r="L70" s="99"/>
      <c r="M70" s="15">
        <v>47872</v>
      </c>
      <c r="N70" s="15">
        <v>173206</v>
      </c>
      <c r="O70" s="78"/>
      <c r="P70" s="15">
        <v>67737</v>
      </c>
      <c r="Q70" s="15">
        <v>186593</v>
      </c>
    </row>
    <row r="71" spans="1:17" x14ac:dyDescent="0.3">
      <c r="A71" s="98" t="s">
        <v>16</v>
      </c>
      <c r="B71" s="11">
        <v>0.33</v>
      </c>
      <c r="C71" s="11">
        <v>0.33100000000000002</v>
      </c>
      <c r="D71" s="77"/>
      <c r="E71" s="11">
        <v>0.31900000000000001</v>
      </c>
      <c r="F71" s="11">
        <v>0.32300000000000001</v>
      </c>
      <c r="L71" s="98" t="s">
        <v>16</v>
      </c>
      <c r="M71" s="11">
        <v>0.441</v>
      </c>
      <c r="N71" s="11">
        <v>0.51500000000000001</v>
      </c>
      <c r="O71" s="77"/>
      <c r="P71" s="11">
        <v>0.42</v>
      </c>
      <c r="Q71" s="11">
        <v>0.503</v>
      </c>
    </row>
    <row r="72" spans="1:17" x14ac:dyDescent="0.3">
      <c r="A72" s="99"/>
      <c r="B72" s="15">
        <v>184966</v>
      </c>
      <c r="C72" s="15">
        <v>66557</v>
      </c>
      <c r="D72" s="78"/>
      <c r="E72" s="15">
        <v>145117</v>
      </c>
      <c r="F72" s="15">
        <v>40886</v>
      </c>
      <c r="L72" s="99"/>
      <c r="M72" s="15">
        <v>104531</v>
      </c>
      <c r="N72" s="15">
        <v>544565</v>
      </c>
      <c r="O72" s="78"/>
      <c r="P72" s="15">
        <v>144380</v>
      </c>
      <c r="Q72" s="15">
        <v>570236</v>
      </c>
    </row>
    <row r="73" spans="1:17" x14ac:dyDescent="0.3">
      <c r="A73" s="98" t="s">
        <v>20</v>
      </c>
      <c r="B73" s="11">
        <v>0.501</v>
      </c>
      <c r="C73" s="11">
        <v>0.47599999999999998</v>
      </c>
      <c r="D73" s="77"/>
      <c r="E73" s="11">
        <v>0.50700000000000001</v>
      </c>
      <c r="F73" s="11">
        <v>0.49399999999999999</v>
      </c>
      <c r="L73" s="98" t="s">
        <v>20</v>
      </c>
      <c r="M73" s="11">
        <v>0.52600000000000002</v>
      </c>
      <c r="N73" s="11">
        <v>0.499</v>
      </c>
      <c r="O73" s="77"/>
      <c r="P73" s="11">
        <v>0.51</v>
      </c>
      <c r="Q73" s="11">
        <v>0.495</v>
      </c>
    </row>
    <row r="74" spans="1:17" x14ac:dyDescent="0.3">
      <c r="A74" s="99"/>
      <c r="B74" s="15">
        <v>280889</v>
      </c>
      <c r="C74" s="15">
        <v>95749</v>
      </c>
      <c r="D74" s="78"/>
      <c r="E74" s="15">
        <v>230451</v>
      </c>
      <c r="F74" s="15">
        <v>62605</v>
      </c>
      <c r="L74" s="99"/>
      <c r="M74" s="15">
        <v>124829</v>
      </c>
      <c r="N74" s="15">
        <v>528033</v>
      </c>
      <c r="O74" s="78"/>
      <c r="P74" s="15">
        <v>175267</v>
      </c>
      <c r="Q74" s="15">
        <v>561177</v>
      </c>
    </row>
    <row r="75" spans="1:17" x14ac:dyDescent="0.3">
      <c r="A75" s="98" t="s">
        <v>21</v>
      </c>
      <c r="B75" s="11">
        <v>6.4000000000000001E-2</v>
      </c>
      <c r="C75" s="11">
        <v>6.8000000000000005E-2</v>
      </c>
      <c r="D75" s="77"/>
      <c r="E75" s="11">
        <v>5.8999999999999997E-2</v>
      </c>
      <c r="F75" s="11">
        <v>6.2E-2</v>
      </c>
      <c r="L75" s="98" t="s">
        <v>21</v>
      </c>
      <c r="M75" s="11">
        <v>0.11600000000000001</v>
      </c>
      <c r="N75" s="11">
        <v>0.17899999999999999</v>
      </c>
      <c r="O75" s="77"/>
      <c r="P75" s="11">
        <v>0.107</v>
      </c>
      <c r="Q75" s="11">
        <v>0.17299999999999999</v>
      </c>
    </row>
    <row r="76" spans="1:17" x14ac:dyDescent="0.3">
      <c r="A76" s="99"/>
      <c r="B76" s="15">
        <v>36161</v>
      </c>
      <c r="C76" s="16">
        <v>13745</v>
      </c>
      <c r="D76" s="19"/>
      <c r="E76" s="18">
        <v>26885</v>
      </c>
      <c r="F76" s="15">
        <v>7831</v>
      </c>
      <c r="L76" s="99"/>
      <c r="M76" s="15">
        <v>27574</v>
      </c>
      <c r="N76" s="16">
        <v>189738</v>
      </c>
      <c r="O76" s="19"/>
      <c r="P76" s="18">
        <v>36850</v>
      </c>
      <c r="Q76" s="15">
        <v>195652</v>
      </c>
    </row>
  </sheetData>
  <mergeCells count="46">
    <mergeCell ref="A3:E3"/>
    <mergeCell ref="M3:Q3"/>
    <mergeCell ref="A29:I29"/>
    <mergeCell ref="L29:T29"/>
    <mergeCell ref="A35:I35"/>
    <mergeCell ref="L35:T35"/>
    <mergeCell ref="B42:C42"/>
    <mergeCell ref="E42:F42"/>
    <mergeCell ref="P42:Q42"/>
    <mergeCell ref="M42:N42"/>
    <mergeCell ref="A44:A45"/>
    <mergeCell ref="A46:A47"/>
    <mergeCell ref="A48:A49"/>
    <mergeCell ref="A50:A51"/>
    <mergeCell ref="A52:A53"/>
    <mergeCell ref="A54:A55"/>
    <mergeCell ref="A56:A57"/>
    <mergeCell ref="L48:L49"/>
    <mergeCell ref="L50:L51"/>
    <mergeCell ref="L52:L53"/>
    <mergeCell ref="L54:L55"/>
    <mergeCell ref="L56:L57"/>
    <mergeCell ref="A75:A76"/>
    <mergeCell ref="L75:L76"/>
    <mergeCell ref="A67:A68"/>
    <mergeCell ref="L67:L68"/>
    <mergeCell ref="A69:A70"/>
    <mergeCell ref="L69:L70"/>
    <mergeCell ref="A71:A72"/>
    <mergeCell ref="L71:L72"/>
    <mergeCell ref="A41:I41"/>
    <mergeCell ref="L41:T41"/>
    <mergeCell ref="A60:I60"/>
    <mergeCell ref="L60:T60"/>
    <mergeCell ref="A73:A74"/>
    <mergeCell ref="L73:L74"/>
    <mergeCell ref="P61:Q61"/>
    <mergeCell ref="A63:A64"/>
    <mergeCell ref="L63:L64"/>
    <mergeCell ref="A65:A66"/>
    <mergeCell ref="L65:L66"/>
    <mergeCell ref="L46:L47"/>
    <mergeCell ref="L44:L45"/>
    <mergeCell ref="B61:C61"/>
    <mergeCell ref="E61:F61"/>
    <mergeCell ref="M61:N6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D4A0A-6007-494B-86BC-A7F43164FFA6}">
  <dimension ref="A1:V38"/>
  <sheetViews>
    <sheetView topLeftCell="A12" zoomScale="90" zoomScaleNormal="90" workbookViewId="0">
      <selection activeCell="H7" sqref="H7"/>
    </sheetView>
  </sheetViews>
  <sheetFormatPr defaultRowHeight="14.4" x14ac:dyDescent="0.3"/>
  <cols>
    <col min="1" max="1" width="15.6640625" customWidth="1"/>
    <col min="2" max="2" width="13" customWidth="1"/>
    <col min="3" max="3" width="14.44140625" customWidth="1"/>
    <col min="4" max="4" width="13.6640625" customWidth="1"/>
    <col min="5" max="5" width="14.6640625" customWidth="1"/>
    <col min="6" max="9" width="12.88671875" customWidth="1"/>
    <col min="12" max="12" width="19" customWidth="1"/>
    <col min="13" max="13" width="17.109375" customWidth="1"/>
    <col min="14" max="14" width="13" customWidth="1"/>
    <col min="15" max="15" width="14.44140625" customWidth="1"/>
    <col min="16" max="16" width="13.6640625" customWidth="1"/>
    <col min="17" max="17" width="13.88671875" customWidth="1"/>
    <col min="18" max="20" width="12.88671875" customWidth="1"/>
  </cols>
  <sheetData>
    <row r="1" spans="1:17" ht="36" customHeight="1" x14ac:dyDescent="0.3">
      <c r="A1" s="84" t="s">
        <v>138</v>
      </c>
    </row>
    <row r="3" spans="1:17" ht="18" x14ac:dyDescent="0.35">
      <c r="A3" s="118" t="s">
        <v>119</v>
      </c>
      <c r="B3" s="106"/>
      <c r="C3" s="106"/>
      <c r="D3" s="106"/>
      <c r="E3" s="106"/>
      <c r="M3" s="118" t="s">
        <v>120</v>
      </c>
      <c r="N3" s="106"/>
      <c r="O3" s="106"/>
      <c r="P3" s="106"/>
      <c r="Q3" s="106"/>
    </row>
    <row r="4" spans="1:17" x14ac:dyDescent="0.3">
      <c r="A4" s="30"/>
      <c r="B4" s="30"/>
      <c r="C4" s="30"/>
      <c r="D4" s="30"/>
      <c r="E4" s="30"/>
      <c r="M4" s="30"/>
      <c r="N4" s="30"/>
      <c r="O4" s="30"/>
      <c r="P4" s="30"/>
      <c r="Q4" s="30"/>
    </row>
    <row r="5" spans="1:17" x14ac:dyDescent="0.3">
      <c r="A5" s="2" t="str">
        <f>CONCATENATE("Table 84a. High-Poverty High School and Student Counts ",A7," to ",A11)</f>
        <v>Table 84a. High-Poverty High School and Student Counts Class of 2018 to Class of 2024</v>
      </c>
      <c r="B5" s="30"/>
      <c r="C5" s="30"/>
      <c r="D5" s="30"/>
      <c r="E5" s="30"/>
      <c r="M5" s="2" t="str">
        <f>CONCATENATE("Table 84b. Low-Poverty High School and Student Counts ",M7," to ",M11)</f>
        <v>Table 84b. Low-Poverty High School and Student Counts Class of 2018 to Class of 2024</v>
      </c>
      <c r="N5" s="30"/>
      <c r="O5" s="30"/>
      <c r="P5" s="30"/>
      <c r="Q5" s="30"/>
    </row>
    <row r="6" spans="1:17" ht="34.950000000000003" customHeight="1" x14ac:dyDescent="0.3">
      <c r="A6" s="67" t="s">
        <v>56</v>
      </c>
      <c r="B6" s="67" t="s">
        <v>57</v>
      </c>
      <c r="C6" s="67" t="s">
        <v>58</v>
      </c>
      <c r="D6" s="67" t="s">
        <v>59</v>
      </c>
      <c r="E6" s="67" t="s">
        <v>60</v>
      </c>
      <c r="M6" s="67" t="s">
        <v>56</v>
      </c>
      <c r="N6" s="67" t="s">
        <v>57</v>
      </c>
      <c r="O6" s="67" t="s">
        <v>58</v>
      </c>
      <c r="P6" s="67" t="s">
        <v>59</v>
      </c>
      <c r="Q6" s="67" t="s">
        <v>60</v>
      </c>
    </row>
    <row r="7" spans="1:17" x14ac:dyDescent="0.3">
      <c r="A7" s="80" t="s">
        <v>64</v>
      </c>
      <c r="B7" s="15">
        <v>1533</v>
      </c>
      <c r="C7" s="15">
        <v>2853</v>
      </c>
      <c r="D7" s="15">
        <v>285195</v>
      </c>
      <c r="E7" s="15">
        <v>446682</v>
      </c>
      <c r="M7" s="80" t="s">
        <v>64</v>
      </c>
      <c r="N7" s="15">
        <v>2158</v>
      </c>
      <c r="O7" s="15">
        <v>2819</v>
      </c>
      <c r="P7" s="15">
        <v>584527</v>
      </c>
      <c r="Q7" s="15">
        <v>753949</v>
      </c>
    </row>
    <row r="8" spans="1:17" x14ac:dyDescent="0.3">
      <c r="A8" s="80" t="s">
        <v>61</v>
      </c>
      <c r="B8" s="15">
        <v>1437</v>
      </c>
      <c r="C8" s="15">
        <v>2713</v>
      </c>
      <c r="D8" s="15">
        <v>280331</v>
      </c>
      <c r="E8" s="15">
        <v>461637</v>
      </c>
      <c r="M8" s="80" t="s">
        <v>61</v>
      </c>
      <c r="N8" s="15">
        <v>1777</v>
      </c>
      <c r="O8" s="15">
        <v>2426</v>
      </c>
      <c r="P8" s="15">
        <v>468677</v>
      </c>
      <c r="Q8" s="15">
        <v>646910</v>
      </c>
    </row>
    <row r="9" spans="1:17" x14ac:dyDescent="0.3">
      <c r="A9" s="80" t="s">
        <v>62</v>
      </c>
      <c r="B9" s="15">
        <v>1368</v>
      </c>
      <c r="C9" s="15">
        <v>2640</v>
      </c>
      <c r="D9" s="15">
        <v>270990</v>
      </c>
      <c r="E9" s="15">
        <v>444819</v>
      </c>
      <c r="M9" s="80" t="s">
        <v>62</v>
      </c>
      <c r="N9" s="15">
        <v>2207</v>
      </c>
      <c r="O9" s="15">
        <v>3091</v>
      </c>
      <c r="P9" s="15">
        <v>556498</v>
      </c>
      <c r="Q9" s="15">
        <v>774817</v>
      </c>
    </row>
    <row r="10" spans="1:17" x14ac:dyDescent="0.3">
      <c r="A10" s="80" t="s">
        <v>63</v>
      </c>
      <c r="B10" s="15">
        <v>1785</v>
      </c>
      <c r="C10" s="15">
        <v>3340</v>
      </c>
      <c r="D10" s="15">
        <v>328616</v>
      </c>
      <c r="E10" s="15">
        <v>531729</v>
      </c>
      <c r="M10" s="80" t="s">
        <v>63</v>
      </c>
      <c r="N10" s="15">
        <v>1820</v>
      </c>
      <c r="O10" s="15">
        <v>2411</v>
      </c>
      <c r="P10" s="15">
        <v>463114</v>
      </c>
      <c r="Q10" s="15">
        <v>610249</v>
      </c>
    </row>
    <row r="11" spans="1:17" x14ac:dyDescent="0.3">
      <c r="A11" s="80" t="s">
        <v>65</v>
      </c>
      <c r="B11" s="15">
        <v>1641</v>
      </c>
      <c r="C11" s="15">
        <v>3530</v>
      </c>
      <c r="D11" s="15">
        <v>305316</v>
      </c>
      <c r="E11" s="15">
        <v>562866</v>
      </c>
      <c r="M11" s="80" t="s">
        <v>65</v>
      </c>
      <c r="N11" s="15">
        <v>1298</v>
      </c>
      <c r="O11" s="15">
        <v>1984</v>
      </c>
      <c r="P11" s="15">
        <v>345669</v>
      </c>
      <c r="Q11" s="15">
        <v>530145</v>
      </c>
    </row>
    <row r="29" spans="1:22" ht="32.4" customHeight="1" x14ac:dyDescent="0.3">
      <c r="A29" s="111" t="s">
        <v>115</v>
      </c>
      <c r="B29" s="112"/>
      <c r="C29" s="112"/>
      <c r="D29" s="112"/>
      <c r="E29" s="112"/>
      <c r="F29" s="112"/>
      <c r="G29" s="112"/>
      <c r="H29" s="112"/>
      <c r="I29" s="112"/>
      <c r="L29" s="111" t="s">
        <v>117</v>
      </c>
      <c r="M29" s="112"/>
      <c r="N29" s="112"/>
      <c r="O29" s="112"/>
      <c r="P29" s="112"/>
      <c r="Q29" s="112"/>
      <c r="R29" s="112"/>
      <c r="S29" s="112"/>
      <c r="T29" s="112"/>
    </row>
    <row r="30" spans="1:22" ht="26.4" customHeight="1" x14ac:dyDescent="0.3">
      <c r="A30" s="55"/>
      <c r="B30" s="56" t="s">
        <v>41</v>
      </c>
      <c r="C30" s="57" t="s">
        <v>42</v>
      </c>
      <c r="D30" s="57" t="s">
        <v>18</v>
      </c>
      <c r="E30" s="57" t="s">
        <v>19</v>
      </c>
      <c r="F30" s="57" t="s">
        <v>43</v>
      </c>
      <c r="G30" s="57" t="s">
        <v>44</v>
      </c>
      <c r="H30" s="57" t="s">
        <v>45</v>
      </c>
      <c r="I30" s="57" t="s">
        <v>46</v>
      </c>
      <c r="L30" s="55"/>
      <c r="M30" s="56" t="s">
        <v>41</v>
      </c>
      <c r="N30" s="57" t="s">
        <v>42</v>
      </c>
      <c r="O30" s="57" t="s">
        <v>18</v>
      </c>
      <c r="P30" s="57" t="s">
        <v>19</v>
      </c>
      <c r="Q30" s="57" t="s">
        <v>43</v>
      </c>
      <c r="R30" s="57" t="s">
        <v>44</v>
      </c>
      <c r="S30" s="57" t="s">
        <v>45</v>
      </c>
      <c r="T30" s="57" t="s">
        <v>46</v>
      </c>
    </row>
    <row r="31" spans="1:22" x14ac:dyDescent="0.3">
      <c r="A31" s="58">
        <v>2024</v>
      </c>
      <c r="B31" s="15">
        <v>149052</v>
      </c>
      <c r="C31" s="11">
        <v>0.51400000000000001</v>
      </c>
      <c r="D31" s="11">
        <v>0.45900000000000002</v>
      </c>
      <c r="E31" s="11">
        <v>5.5E-2</v>
      </c>
      <c r="F31" s="11">
        <v>0.22600000000000001</v>
      </c>
      <c r="G31" s="11">
        <v>0.28799999999999998</v>
      </c>
      <c r="H31" s="11">
        <v>0.46800000000000003</v>
      </c>
      <c r="I31" s="11">
        <v>4.5999999999999999E-2</v>
      </c>
      <c r="J31" s="28"/>
      <c r="L31" s="58">
        <v>2024</v>
      </c>
      <c r="M31" s="15">
        <v>247568</v>
      </c>
      <c r="N31" s="11">
        <v>0.74199999999999999</v>
      </c>
      <c r="O31" s="11">
        <v>0.59</v>
      </c>
      <c r="P31" s="11">
        <v>0.151</v>
      </c>
      <c r="Q31" s="11">
        <v>0.14299999999999999</v>
      </c>
      <c r="R31" s="11">
        <v>0.59799999999999998</v>
      </c>
      <c r="S31" s="11">
        <v>0.51800000000000002</v>
      </c>
      <c r="T31" s="11">
        <v>0.224</v>
      </c>
      <c r="V31" s="28"/>
    </row>
    <row r="32" spans="1:22" x14ac:dyDescent="0.3">
      <c r="A32" s="83" t="s">
        <v>114</v>
      </c>
      <c r="B32" s="15">
        <v>141984</v>
      </c>
      <c r="C32" s="11">
        <v>0.50900000000000001</v>
      </c>
      <c r="D32" s="11">
        <v>0.45200000000000001</v>
      </c>
      <c r="E32" s="11">
        <v>5.7000000000000002E-2</v>
      </c>
      <c r="F32" s="11">
        <v>0.221</v>
      </c>
      <c r="G32" s="11">
        <v>0.28799999999999998</v>
      </c>
      <c r="H32" s="11">
        <v>0.46100000000000002</v>
      </c>
      <c r="I32" s="11">
        <v>4.7E-2</v>
      </c>
      <c r="J32" s="28"/>
      <c r="L32" s="83" t="s">
        <v>114</v>
      </c>
      <c r="M32" s="15">
        <v>282812</v>
      </c>
      <c r="N32" s="11">
        <v>0.72399999999999998</v>
      </c>
      <c r="O32" s="11">
        <v>0.57799999999999996</v>
      </c>
      <c r="P32" s="11">
        <v>0.14699999999999999</v>
      </c>
      <c r="Q32" s="11">
        <v>0.14199999999999999</v>
      </c>
      <c r="R32" s="11">
        <v>0.58199999999999996</v>
      </c>
      <c r="S32" s="11">
        <v>0.51300000000000001</v>
      </c>
      <c r="T32" s="11">
        <v>0.21099999999999999</v>
      </c>
      <c r="V32" s="28"/>
    </row>
    <row r="35" spans="1:22" ht="32.4" customHeight="1" x14ac:dyDescent="0.3">
      <c r="A35" s="111" t="s">
        <v>116</v>
      </c>
      <c r="B35" s="112"/>
      <c r="C35" s="112"/>
      <c r="D35" s="112"/>
      <c r="E35" s="112"/>
      <c r="F35" s="112"/>
      <c r="G35" s="112"/>
      <c r="H35" s="112"/>
      <c r="I35" s="112"/>
      <c r="L35" s="111" t="s">
        <v>118</v>
      </c>
      <c r="M35" s="112"/>
      <c r="N35" s="112"/>
      <c r="O35" s="112"/>
      <c r="P35" s="112"/>
      <c r="Q35" s="112"/>
      <c r="R35" s="112"/>
      <c r="S35" s="112"/>
      <c r="T35" s="112"/>
    </row>
    <row r="36" spans="1:22" ht="28.8" x14ac:dyDescent="0.3">
      <c r="A36" s="55"/>
      <c r="B36" s="56" t="s">
        <v>41</v>
      </c>
      <c r="C36" s="57" t="s">
        <v>42</v>
      </c>
      <c r="D36" s="57" t="s">
        <v>18</v>
      </c>
      <c r="E36" s="57" t="s">
        <v>19</v>
      </c>
      <c r="F36" s="57" t="s">
        <v>43</v>
      </c>
      <c r="G36" s="57" t="s">
        <v>44</v>
      </c>
      <c r="H36" s="57" t="s">
        <v>45</v>
      </c>
      <c r="I36" s="57" t="s">
        <v>46</v>
      </c>
      <c r="L36" s="55"/>
      <c r="M36" s="56" t="s">
        <v>41</v>
      </c>
      <c r="N36" s="57" t="s">
        <v>42</v>
      </c>
      <c r="O36" s="57" t="s">
        <v>18</v>
      </c>
      <c r="P36" s="57" t="s">
        <v>19</v>
      </c>
      <c r="Q36" s="57" t="s">
        <v>43</v>
      </c>
      <c r="R36" s="57" t="s">
        <v>44</v>
      </c>
      <c r="S36" s="57" t="s">
        <v>45</v>
      </c>
      <c r="T36" s="57" t="s">
        <v>46</v>
      </c>
    </row>
    <row r="37" spans="1:22" x14ac:dyDescent="0.3">
      <c r="A37" s="58">
        <v>2023</v>
      </c>
      <c r="B37" s="15">
        <v>167868</v>
      </c>
      <c r="C37" s="11">
        <v>0.54400000000000004</v>
      </c>
      <c r="D37" s="11">
        <v>0.47199999999999998</v>
      </c>
      <c r="E37" s="11">
        <v>7.1999999999999995E-2</v>
      </c>
      <c r="F37" s="11">
        <v>0.23200000000000001</v>
      </c>
      <c r="G37" s="11">
        <v>0.312</v>
      </c>
      <c r="H37" s="11">
        <v>0.49</v>
      </c>
      <c r="I37" s="11">
        <v>5.3999999999999999E-2</v>
      </c>
      <c r="L37" s="58">
        <v>2023</v>
      </c>
      <c r="M37" s="15">
        <v>333349</v>
      </c>
      <c r="N37" s="11">
        <v>0.751</v>
      </c>
      <c r="O37" s="11">
        <v>0.58899999999999997</v>
      </c>
      <c r="P37" s="11">
        <v>0.161</v>
      </c>
      <c r="Q37" s="11">
        <v>0.14799999999999999</v>
      </c>
      <c r="R37" s="11">
        <v>0.60299999999999998</v>
      </c>
      <c r="S37" s="11">
        <v>0.52600000000000002</v>
      </c>
      <c r="T37" s="11">
        <v>0.22500000000000001</v>
      </c>
      <c r="V37" s="28"/>
    </row>
    <row r="38" spans="1:22" x14ac:dyDescent="0.3">
      <c r="A38" s="83" t="s">
        <v>113</v>
      </c>
      <c r="B38" s="15">
        <v>129607</v>
      </c>
      <c r="C38" s="11">
        <v>0.54400000000000004</v>
      </c>
      <c r="D38" s="11">
        <v>0.47399999999999998</v>
      </c>
      <c r="E38" s="11">
        <v>6.9000000000000006E-2</v>
      </c>
      <c r="F38" s="11">
        <v>0.23899999999999999</v>
      </c>
      <c r="G38" s="11">
        <v>0.30499999999999999</v>
      </c>
      <c r="H38" s="11">
        <v>0.496</v>
      </c>
      <c r="I38" s="11">
        <v>4.8000000000000001E-2</v>
      </c>
      <c r="L38" s="83" t="s">
        <v>113</v>
      </c>
      <c r="M38" s="15">
        <v>380504</v>
      </c>
      <c r="N38" s="11">
        <v>0.73399999999999999</v>
      </c>
      <c r="O38" s="11">
        <v>0.57399999999999995</v>
      </c>
      <c r="P38" s="11">
        <v>0.16</v>
      </c>
      <c r="Q38" s="11">
        <v>0.16700000000000001</v>
      </c>
      <c r="R38" s="11">
        <v>0.56699999999999995</v>
      </c>
      <c r="S38" s="11">
        <v>0.51</v>
      </c>
      <c r="T38" s="11">
        <v>0.224</v>
      </c>
      <c r="V38" s="28"/>
    </row>
  </sheetData>
  <mergeCells count="6">
    <mergeCell ref="A3:E3"/>
    <mergeCell ref="M3:Q3"/>
    <mergeCell ref="A29:I29"/>
    <mergeCell ref="L29:T29"/>
    <mergeCell ref="A35:I35"/>
    <mergeCell ref="L35:T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38E3D-67DB-4A99-9FB9-BC29A91859BC}">
  <dimension ref="A1:M252"/>
  <sheetViews>
    <sheetView topLeftCell="A168" workbookViewId="0">
      <selection activeCell="O189" sqref="O189"/>
    </sheetView>
  </sheetViews>
  <sheetFormatPr defaultRowHeight="14.4" x14ac:dyDescent="0.3"/>
  <cols>
    <col min="1" max="1" width="20.6640625" customWidth="1"/>
    <col min="2" max="3" width="15.6640625" customWidth="1"/>
    <col min="4" max="4" width="3.6640625" customWidth="1"/>
    <col min="5" max="6" width="15.6640625" customWidth="1"/>
    <col min="7" max="7" width="3.6640625" customWidth="1"/>
    <col min="8" max="9" width="15.6640625" customWidth="1"/>
    <col min="10" max="10" width="3.6640625" customWidth="1"/>
    <col min="11" max="13" width="15.6640625" customWidth="1"/>
  </cols>
  <sheetData>
    <row r="1" spans="1:13" ht="21" x14ac:dyDescent="0.4">
      <c r="A1" s="1" t="s">
        <v>11</v>
      </c>
    </row>
    <row r="2" spans="1:13" x14ac:dyDescent="0.3">
      <c r="A2" s="2"/>
    </row>
    <row r="3" spans="1:13" x14ac:dyDescent="0.3">
      <c r="A3" s="3" t="s">
        <v>66</v>
      </c>
      <c r="B3" s="4"/>
      <c r="C3" s="4"/>
      <c r="D3" s="4"/>
      <c r="E3" s="4"/>
      <c r="F3" s="4"/>
      <c r="G3" s="4"/>
      <c r="H3" s="4"/>
      <c r="I3" s="4"/>
      <c r="J3" s="4"/>
      <c r="K3" s="4"/>
      <c r="L3" s="4"/>
      <c r="M3" s="4"/>
    </row>
    <row r="4" spans="1:13" x14ac:dyDescent="0.3">
      <c r="A4" s="5"/>
      <c r="B4" s="6" t="s">
        <v>129</v>
      </c>
      <c r="C4" s="7" t="s">
        <v>130</v>
      </c>
      <c r="D4" s="8"/>
      <c r="E4" s="9" t="s">
        <v>131</v>
      </c>
      <c r="F4" s="7" t="s">
        <v>132</v>
      </c>
      <c r="G4" s="8"/>
      <c r="H4" s="9" t="s">
        <v>133</v>
      </c>
      <c r="I4" s="7" t="s">
        <v>134</v>
      </c>
      <c r="J4" s="8"/>
      <c r="K4" s="9" t="s">
        <v>12</v>
      </c>
      <c r="L4" s="6" t="s">
        <v>13</v>
      </c>
      <c r="M4" s="6" t="s">
        <v>14</v>
      </c>
    </row>
    <row r="5" spans="1:13" x14ac:dyDescent="0.3">
      <c r="A5" s="98" t="s">
        <v>15</v>
      </c>
      <c r="B5" s="11">
        <v>0.51400000000000001</v>
      </c>
      <c r="C5" s="12">
        <v>0.74199999999999999</v>
      </c>
      <c r="D5" s="13"/>
      <c r="E5" s="11">
        <v>0.52300000000000002</v>
      </c>
      <c r="F5" s="12">
        <v>0.64200000000000002</v>
      </c>
      <c r="G5" s="13"/>
      <c r="H5" s="11">
        <v>0.55000000000000004</v>
      </c>
      <c r="I5" s="12">
        <v>0.627</v>
      </c>
      <c r="J5" s="13"/>
      <c r="K5" s="11">
        <v>0.59499999999999997</v>
      </c>
      <c r="L5" s="12">
        <v>0.63400000000000001</v>
      </c>
      <c r="M5" s="11">
        <v>0.53200000000000003</v>
      </c>
    </row>
    <row r="6" spans="1:13" x14ac:dyDescent="0.3">
      <c r="A6" s="99"/>
      <c r="B6" s="15">
        <v>149052</v>
      </c>
      <c r="C6" s="16">
        <v>247568</v>
      </c>
      <c r="D6" s="17"/>
      <c r="E6" s="15">
        <v>384007</v>
      </c>
      <c r="F6" s="16">
        <v>696566</v>
      </c>
      <c r="G6" s="17"/>
      <c r="H6" s="15">
        <v>427546</v>
      </c>
      <c r="I6" s="16">
        <v>653027</v>
      </c>
      <c r="J6" s="17"/>
      <c r="K6" s="15">
        <v>329076</v>
      </c>
      <c r="L6" s="16">
        <v>482388</v>
      </c>
      <c r="M6" s="15">
        <v>269109</v>
      </c>
    </row>
    <row r="7" spans="1:13" x14ac:dyDescent="0.3">
      <c r="A7" s="98" t="s">
        <v>16</v>
      </c>
      <c r="B7" s="11">
        <v>0.28799999999999998</v>
      </c>
      <c r="C7" s="12">
        <v>0.59799999999999998</v>
      </c>
      <c r="D7" s="13"/>
      <c r="E7" s="11">
        <v>0.311</v>
      </c>
      <c r="F7" s="12">
        <v>0.47599999999999998</v>
      </c>
      <c r="G7" s="13"/>
      <c r="H7" s="11">
        <v>0.33500000000000002</v>
      </c>
      <c r="I7" s="12">
        <v>0.46400000000000002</v>
      </c>
      <c r="J7" s="13"/>
      <c r="K7" s="11">
        <v>0.39300000000000002</v>
      </c>
      <c r="L7" s="12">
        <v>0.45300000000000001</v>
      </c>
      <c r="M7" s="11">
        <v>0.36099999999999999</v>
      </c>
    </row>
    <row r="8" spans="1:13" x14ac:dyDescent="0.3">
      <c r="A8" s="99"/>
      <c r="B8" s="15">
        <v>83540</v>
      </c>
      <c r="C8" s="16">
        <v>199768</v>
      </c>
      <c r="D8" s="17"/>
      <c r="E8" s="15">
        <v>227981</v>
      </c>
      <c r="F8" s="16">
        <v>516089</v>
      </c>
      <c r="G8" s="17"/>
      <c r="H8" s="15">
        <v>260103</v>
      </c>
      <c r="I8" s="16">
        <v>483967</v>
      </c>
      <c r="J8" s="17"/>
      <c r="K8" s="15">
        <v>217149</v>
      </c>
      <c r="L8" s="16">
        <v>344610</v>
      </c>
      <c r="M8" s="15">
        <v>182311</v>
      </c>
    </row>
    <row r="9" spans="1:13" x14ac:dyDescent="0.3">
      <c r="A9" s="98" t="s">
        <v>17</v>
      </c>
      <c r="B9" s="11">
        <v>0.22600000000000001</v>
      </c>
      <c r="C9" s="12">
        <v>0.14299999999999999</v>
      </c>
      <c r="D9" s="13"/>
      <c r="E9" s="11">
        <v>0.21299999999999999</v>
      </c>
      <c r="F9" s="12">
        <v>0.16600000000000001</v>
      </c>
      <c r="G9" s="13"/>
      <c r="H9" s="11">
        <v>0.216</v>
      </c>
      <c r="I9" s="12">
        <v>0.16200000000000001</v>
      </c>
      <c r="J9" s="13"/>
      <c r="K9" s="11">
        <v>0.20300000000000001</v>
      </c>
      <c r="L9" s="12">
        <v>0.18099999999999999</v>
      </c>
      <c r="M9" s="11">
        <v>0.17199999999999999</v>
      </c>
    </row>
    <row r="10" spans="1:13" x14ac:dyDescent="0.3">
      <c r="A10" s="99"/>
      <c r="B10" s="15">
        <v>65512</v>
      </c>
      <c r="C10" s="16">
        <v>47800</v>
      </c>
      <c r="D10" s="17"/>
      <c r="E10" s="15">
        <v>156026</v>
      </c>
      <c r="F10" s="16">
        <v>180477</v>
      </c>
      <c r="G10" s="17"/>
      <c r="H10" s="15">
        <v>167443</v>
      </c>
      <c r="I10" s="16">
        <v>169060</v>
      </c>
      <c r="J10" s="17"/>
      <c r="K10" s="15">
        <v>111927</v>
      </c>
      <c r="L10" s="16">
        <v>137778</v>
      </c>
      <c r="M10" s="15">
        <v>86798</v>
      </c>
    </row>
    <row r="11" spans="1:13" x14ac:dyDescent="0.3">
      <c r="A11" s="98" t="s">
        <v>18</v>
      </c>
      <c r="B11" s="11">
        <v>0.45900000000000002</v>
      </c>
      <c r="C11" s="12">
        <v>0.59</v>
      </c>
      <c r="D11" s="13"/>
      <c r="E11" s="11">
        <v>0.45600000000000002</v>
      </c>
      <c r="F11" s="12">
        <v>0.52</v>
      </c>
      <c r="G11" s="13"/>
      <c r="H11" s="11">
        <v>0.47699999999999998</v>
      </c>
      <c r="I11" s="12">
        <v>0.50700000000000001</v>
      </c>
      <c r="J11" s="13"/>
      <c r="K11" s="11">
        <v>0.50800000000000001</v>
      </c>
      <c r="L11" s="12">
        <v>0.51800000000000002</v>
      </c>
      <c r="M11" s="11">
        <v>0.443</v>
      </c>
    </row>
    <row r="12" spans="1:13" x14ac:dyDescent="0.3">
      <c r="A12" s="99"/>
      <c r="B12" s="15">
        <v>133127</v>
      </c>
      <c r="C12" s="16">
        <v>197073</v>
      </c>
      <c r="D12" s="17"/>
      <c r="E12" s="15">
        <v>334314</v>
      </c>
      <c r="F12" s="16">
        <v>564194</v>
      </c>
      <c r="G12" s="17"/>
      <c r="H12" s="15">
        <v>370541</v>
      </c>
      <c r="I12" s="16">
        <v>527967</v>
      </c>
      <c r="J12" s="17"/>
      <c r="K12" s="15">
        <v>280606</v>
      </c>
      <c r="L12" s="16">
        <v>394023</v>
      </c>
      <c r="M12" s="15">
        <v>223879</v>
      </c>
    </row>
    <row r="13" spans="1:13" x14ac:dyDescent="0.3">
      <c r="A13" s="98" t="s">
        <v>19</v>
      </c>
      <c r="B13" s="11">
        <v>5.5E-2</v>
      </c>
      <c r="C13" s="12">
        <v>0.151</v>
      </c>
      <c r="D13" s="13"/>
      <c r="E13" s="11">
        <v>6.8000000000000005E-2</v>
      </c>
      <c r="F13" s="12">
        <v>0.122</v>
      </c>
      <c r="G13" s="13"/>
      <c r="H13" s="11">
        <v>7.2999999999999995E-2</v>
      </c>
      <c r="I13" s="12">
        <v>0.12</v>
      </c>
      <c r="J13" s="13"/>
      <c r="K13" s="11">
        <v>8.7999999999999995E-2</v>
      </c>
      <c r="L13" s="12">
        <v>0.11600000000000001</v>
      </c>
      <c r="M13" s="11">
        <v>8.8999999999999996E-2</v>
      </c>
    </row>
    <row r="14" spans="1:13" x14ac:dyDescent="0.3">
      <c r="A14" s="99"/>
      <c r="B14" s="15">
        <v>15925</v>
      </c>
      <c r="C14" s="16">
        <v>50495</v>
      </c>
      <c r="D14" s="17"/>
      <c r="E14" s="15">
        <v>49693</v>
      </c>
      <c r="F14" s="16">
        <v>132372</v>
      </c>
      <c r="G14" s="17"/>
      <c r="H14" s="15">
        <v>57005</v>
      </c>
      <c r="I14" s="16">
        <v>125060</v>
      </c>
      <c r="J14" s="17"/>
      <c r="K14" s="15">
        <v>48470</v>
      </c>
      <c r="L14" s="16">
        <v>88365</v>
      </c>
      <c r="M14" s="15">
        <v>45230</v>
      </c>
    </row>
    <row r="15" spans="1:13" x14ac:dyDescent="0.3">
      <c r="A15" s="98" t="s">
        <v>20</v>
      </c>
      <c r="B15" s="11">
        <v>0.46800000000000003</v>
      </c>
      <c r="C15" s="12">
        <v>0.51800000000000002</v>
      </c>
      <c r="D15" s="13"/>
      <c r="E15" s="11">
        <v>0.46300000000000002</v>
      </c>
      <c r="F15" s="12">
        <v>0.48599999999999999</v>
      </c>
      <c r="G15" s="13"/>
      <c r="H15" s="11">
        <v>0.47699999999999998</v>
      </c>
      <c r="I15" s="12">
        <v>0.47599999999999998</v>
      </c>
      <c r="J15" s="13"/>
      <c r="K15" s="11">
        <v>0.48899999999999999</v>
      </c>
      <c r="L15" s="12">
        <v>0.495</v>
      </c>
      <c r="M15" s="11">
        <v>0.436</v>
      </c>
    </row>
    <row r="16" spans="1:13" x14ac:dyDescent="0.3">
      <c r="A16" s="99"/>
      <c r="B16" s="15">
        <v>135600</v>
      </c>
      <c r="C16" s="16">
        <v>172918</v>
      </c>
      <c r="D16" s="17"/>
      <c r="E16" s="15">
        <v>339518</v>
      </c>
      <c r="F16" s="16">
        <v>527335</v>
      </c>
      <c r="G16" s="17"/>
      <c r="H16" s="15">
        <v>370576</v>
      </c>
      <c r="I16" s="16">
        <v>496277</v>
      </c>
      <c r="J16" s="17"/>
      <c r="K16" s="15">
        <v>270331</v>
      </c>
      <c r="L16" s="16">
        <v>376306</v>
      </c>
      <c r="M16" s="15">
        <v>220216</v>
      </c>
    </row>
    <row r="17" spans="1:13" x14ac:dyDescent="0.3">
      <c r="A17" s="98" t="s">
        <v>21</v>
      </c>
      <c r="B17" s="11">
        <v>4.5999999999999999E-2</v>
      </c>
      <c r="C17" s="12">
        <v>0.224</v>
      </c>
      <c r="D17" s="13"/>
      <c r="E17" s="11">
        <v>6.0999999999999999E-2</v>
      </c>
      <c r="F17" s="12">
        <v>0.156</v>
      </c>
      <c r="G17" s="13"/>
      <c r="H17" s="11">
        <v>7.2999999999999995E-2</v>
      </c>
      <c r="I17" s="12">
        <v>0.15</v>
      </c>
      <c r="J17" s="13"/>
      <c r="K17" s="11">
        <v>0.106</v>
      </c>
      <c r="L17" s="12">
        <v>0.13900000000000001</v>
      </c>
      <c r="M17" s="11">
        <v>9.7000000000000003E-2</v>
      </c>
    </row>
    <row r="18" spans="1:13" x14ac:dyDescent="0.3">
      <c r="A18" s="99"/>
      <c r="B18" s="15">
        <v>13452</v>
      </c>
      <c r="C18" s="16">
        <v>74650</v>
      </c>
      <c r="D18" s="19"/>
      <c r="E18" s="15">
        <v>44489</v>
      </c>
      <c r="F18" s="16">
        <v>169231</v>
      </c>
      <c r="G18" s="19"/>
      <c r="H18" s="15">
        <v>56970</v>
      </c>
      <c r="I18" s="16">
        <v>156750</v>
      </c>
      <c r="J18" s="19"/>
      <c r="K18" s="15">
        <v>58745</v>
      </c>
      <c r="L18" s="16">
        <v>106082</v>
      </c>
      <c r="M18" s="15">
        <v>48893</v>
      </c>
    </row>
    <row r="20" spans="1:13" x14ac:dyDescent="0.3">
      <c r="A20" s="3" t="s">
        <v>67</v>
      </c>
      <c r="B20" s="4"/>
      <c r="C20" s="4"/>
      <c r="D20" s="4"/>
      <c r="E20" s="4"/>
      <c r="F20" s="4"/>
      <c r="G20" s="4"/>
      <c r="H20" s="4"/>
      <c r="I20" s="4"/>
      <c r="J20" s="4"/>
      <c r="K20" s="4"/>
      <c r="L20" s="4"/>
      <c r="M20" s="4"/>
    </row>
    <row r="21" spans="1:13" x14ac:dyDescent="0.3">
      <c r="A21" s="5"/>
      <c r="B21" s="6" t="s">
        <v>129</v>
      </c>
      <c r="C21" s="7" t="s">
        <v>130</v>
      </c>
      <c r="D21" s="8"/>
      <c r="E21" s="9" t="s">
        <v>131</v>
      </c>
      <c r="F21" s="7" t="s">
        <v>132</v>
      </c>
      <c r="G21" s="8"/>
      <c r="H21" s="9" t="s">
        <v>133</v>
      </c>
      <c r="I21" s="7" t="s">
        <v>134</v>
      </c>
      <c r="J21" s="8"/>
      <c r="K21" s="9" t="s">
        <v>12</v>
      </c>
      <c r="L21" s="6" t="s">
        <v>13</v>
      </c>
      <c r="M21" s="6" t="s">
        <v>14</v>
      </c>
    </row>
    <row r="22" spans="1:13" x14ac:dyDescent="0.3">
      <c r="A22" s="98" t="s">
        <v>15</v>
      </c>
      <c r="B22" s="11">
        <v>0.50600000000000001</v>
      </c>
      <c r="C22" s="12">
        <v>0.72599999999999998</v>
      </c>
      <c r="D22" s="13"/>
      <c r="E22" s="11">
        <v>0.52100000000000002</v>
      </c>
      <c r="F22" s="12">
        <v>0.64400000000000002</v>
      </c>
      <c r="G22" s="13"/>
      <c r="H22" s="11">
        <v>0.54800000000000004</v>
      </c>
      <c r="I22" s="12">
        <v>0.63</v>
      </c>
      <c r="J22" s="13"/>
      <c r="K22" s="11">
        <v>0.59499999999999997</v>
      </c>
      <c r="L22" s="12">
        <v>0.63600000000000001</v>
      </c>
      <c r="M22" s="11">
        <v>0.54300000000000004</v>
      </c>
    </row>
    <row r="23" spans="1:13" x14ac:dyDescent="0.3">
      <c r="A23" s="99"/>
      <c r="B23" s="15">
        <v>156183</v>
      </c>
      <c r="C23" s="16">
        <v>322230</v>
      </c>
      <c r="D23" s="17"/>
      <c r="E23" s="15">
        <v>397178</v>
      </c>
      <c r="F23" s="16">
        <v>833577</v>
      </c>
      <c r="G23" s="17"/>
      <c r="H23" s="15">
        <v>437476</v>
      </c>
      <c r="I23" s="16">
        <v>793279</v>
      </c>
      <c r="J23" s="17"/>
      <c r="K23" s="15">
        <v>333691</v>
      </c>
      <c r="L23" s="16">
        <v>575491</v>
      </c>
      <c r="M23" s="15">
        <v>321573</v>
      </c>
    </row>
    <row r="24" spans="1:13" x14ac:dyDescent="0.3">
      <c r="A24" s="98" t="s">
        <v>16</v>
      </c>
      <c r="B24" s="11">
        <v>0.29699999999999999</v>
      </c>
      <c r="C24" s="12">
        <v>0.58799999999999997</v>
      </c>
      <c r="D24" s="13"/>
      <c r="E24" s="11">
        <v>0.314</v>
      </c>
      <c r="F24" s="12">
        <v>0.48599999999999999</v>
      </c>
      <c r="G24" s="13"/>
      <c r="H24" s="11">
        <v>0.34499999999999997</v>
      </c>
      <c r="I24" s="12">
        <v>0.47199999999999998</v>
      </c>
      <c r="J24" s="13"/>
      <c r="K24" s="11">
        <v>0.4</v>
      </c>
      <c r="L24" s="12">
        <v>0.46700000000000003</v>
      </c>
      <c r="M24" s="11">
        <v>0.376</v>
      </c>
    </row>
    <row r="25" spans="1:13" x14ac:dyDescent="0.3">
      <c r="A25" s="99"/>
      <c r="B25" s="15">
        <v>91796</v>
      </c>
      <c r="C25" s="16">
        <v>261078</v>
      </c>
      <c r="D25" s="17"/>
      <c r="E25" s="15">
        <v>239584</v>
      </c>
      <c r="F25" s="16">
        <v>629942</v>
      </c>
      <c r="G25" s="17"/>
      <c r="H25" s="15">
        <v>275360</v>
      </c>
      <c r="I25" s="16">
        <v>594166</v>
      </c>
      <c r="J25" s="17"/>
      <c r="K25" s="15">
        <v>224343</v>
      </c>
      <c r="L25" s="16">
        <v>422567</v>
      </c>
      <c r="M25" s="15">
        <v>222616</v>
      </c>
    </row>
    <row r="26" spans="1:13" x14ac:dyDescent="0.3">
      <c r="A26" s="98" t="s">
        <v>17</v>
      </c>
      <c r="B26" s="11">
        <v>0.20899999999999999</v>
      </c>
      <c r="C26" s="12">
        <v>0.13800000000000001</v>
      </c>
      <c r="D26" s="13"/>
      <c r="E26" s="11">
        <v>0.20699999999999999</v>
      </c>
      <c r="F26" s="12">
        <v>0.157</v>
      </c>
      <c r="G26" s="13"/>
      <c r="H26" s="11">
        <v>0.20300000000000001</v>
      </c>
      <c r="I26" s="12">
        <v>0.158</v>
      </c>
      <c r="J26" s="13"/>
      <c r="K26" s="11">
        <v>0.19500000000000001</v>
      </c>
      <c r="L26" s="12">
        <v>0.16900000000000001</v>
      </c>
      <c r="M26" s="11">
        <v>0.16700000000000001</v>
      </c>
    </row>
    <row r="27" spans="1:13" x14ac:dyDescent="0.3">
      <c r="A27" s="99"/>
      <c r="B27" s="15">
        <v>64387</v>
      </c>
      <c r="C27" s="16">
        <v>61152</v>
      </c>
      <c r="D27" s="17"/>
      <c r="E27" s="15">
        <v>157594</v>
      </c>
      <c r="F27" s="16">
        <v>203635</v>
      </c>
      <c r="G27" s="17"/>
      <c r="H27" s="15">
        <v>162116</v>
      </c>
      <c r="I27" s="16">
        <v>199113</v>
      </c>
      <c r="J27" s="17"/>
      <c r="K27" s="15">
        <v>109348</v>
      </c>
      <c r="L27" s="16">
        <v>152924</v>
      </c>
      <c r="M27" s="15">
        <v>98957</v>
      </c>
    </row>
    <row r="28" spans="1:13" x14ac:dyDescent="0.3">
      <c r="A28" s="98" t="s">
        <v>18</v>
      </c>
      <c r="B28" s="11">
        <v>0.44</v>
      </c>
      <c r="C28" s="12">
        <v>0.56799999999999995</v>
      </c>
      <c r="D28" s="13"/>
      <c r="E28" s="11">
        <v>0.44800000000000001</v>
      </c>
      <c r="F28" s="12">
        <v>0.50900000000000001</v>
      </c>
      <c r="G28" s="13"/>
      <c r="H28" s="11">
        <v>0.46899999999999997</v>
      </c>
      <c r="I28" s="12">
        <v>0.497</v>
      </c>
      <c r="J28" s="13"/>
      <c r="K28" s="11">
        <v>0.5</v>
      </c>
      <c r="L28" s="12">
        <v>0.505</v>
      </c>
      <c r="M28" s="11">
        <v>0.44500000000000001</v>
      </c>
    </row>
    <row r="29" spans="1:13" x14ac:dyDescent="0.3">
      <c r="A29" s="99"/>
      <c r="B29" s="15">
        <v>135835</v>
      </c>
      <c r="C29" s="16">
        <v>252315</v>
      </c>
      <c r="D29" s="17"/>
      <c r="E29" s="15">
        <v>341856</v>
      </c>
      <c r="F29" s="16">
        <v>658893</v>
      </c>
      <c r="G29" s="17"/>
      <c r="H29" s="15">
        <v>374350</v>
      </c>
      <c r="I29" s="16">
        <v>626399</v>
      </c>
      <c r="J29" s="17"/>
      <c r="K29" s="15">
        <v>280449</v>
      </c>
      <c r="L29" s="16">
        <v>456489</v>
      </c>
      <c r="M29" s="15">
        <v>263811</v>
      </c>
    </row>
    <row r="30" spans="1:13" x14ac:dyDescent="0.3">
      <c r="A30" s="98" t="s">
        <v>19</v>
      </c>
      <c r="B30" s="11">
        <v>6.6000000000000003E-2</v>
      </c>
      <c r="C30" s="12">
        <v>0.157</v>
      </c>
      <c r="D30" s="13"/>
      <c r="E30" s="11">
        <v>7.2999999999999995E-2</v>
      </c>
      <c r="F30" s="12">
        <v>0.13500000000000001</v>
      </c>
      <c r="G30" s="13"/>
      <c r="H30" s="11">
        <v>7.9000000000000001E-2</v>
      </c>
      <c r="I30" s="12">
        <v>0.13300000000000001</v>
      </c>
      <c r="J30" s="13"/>
      <c r="K30" s="11">
        <v>9.5000000000000001E-2</v>
      </c>
      <c r="L30" s="12">
        <v>0.13200000000000001</v>
      </c>
      <c r="M30" s="11">
        <v>9.8000000000000004E-2</v>
      </c>
    </row>
    <row r="31" spans="1:13" x14ac:dyDescent="0.3">
      <c r="A31" s="99"/>
      <c r="B31" s="15">
        <v>20348</v>
      </c>
      <c r="C31" s="16">
        <v>69915</v>
      </c>
      <c r="D31" s="17"/>
      <c r="E31" s="15">
        <v>55322</v>
      </c>
      <c r="F31" s="16">
        <v>174684</v>
      </c>
      <c r="G31" s="17"/>
      <c r="H31" s="15">
        <v>63126</v>
      </c>
      <c r="I31" s="16">
        <v>166880</v>
      </c>
      <c r="J31" s="17"/>
      <c r="K31" s="15">
        <v>53242</v>
      </c>
      <c r="L31" s="16">
        <v>119002</v>
      </c>
      <c r="M31" s="15">
        <v>57762</v>
      </c>
    </row>
    <row r="32" spans="1:13" x14ac:dyDescent="0.3">
      <c r="A32" s="98" t="s">
        <v>20</v>
      </c>
      <c r="B32" s="11">
        <v>0.45700000000000002</v>
      </c>
      <c r="C32" s="12">
        <v>0.50600000000000001</v>
      </c>
      <c r="D32" s="13"/>
      <c r="E32" s="11">
        <v>0.46100000000000002</v>
      </c>
      <c r="F32" s="12">
        <v>0.48099999999999998</v>
      </c>
      <c r="G32" s="13"/>
      <c r="H32" s="11">
        <v>0.47299999999999998</v>
      </c>
      <c r="I32" s="12">
        <v>0.47299999999999998</v>
      </c>
      <c r="J32" s="13"/>
      <c r="K32" s="11">
        <v>0.48699999999999999</v>
      </c>
      <c r="L32" s="12">
        <v>0.48699999999999999</v>
      </c>
      <c r="M32" s="11">
        <v>0.439</v>
      </c>
    </row>
    <row r="33" spans="1:13" x14ac:dyDescent="0.3">
      <c r="A33" s="99"/>
      <c r="B33" s="15">
        <v>140937</v>
      </c>
      <c r="C33" s="16">
        <v>224833</v>
      </c>
      <c r="D33" s="17"/>
      <c r="E33" s="15">
        <v>351130</v>
      </c>
      <c r="F33" s="16">
        <v>623069</v>
      </c>
      <c r="G33" s="17"/>
      <c r="H33" s="15">
        <v>377917</v>
      </c>
      <c r="I33" s="16">
        <v>596282</v>
      </c>
      <c r="J33" s="17"/>
      <c r="K33" s="15">
        <v>273421</v>
      </c>
      <c r="L33" s="16">
        <v>440789</v>
      </c>
      <c r="M33" s="15">
        <v>259989</v>
      </c>
    </row>
    <row r="34" spans="1:13" x14ac:dyDescent="0.3">
      <c r="A34" s="98" t="s">
        <v>21</v>
      </c>
      <c r="B34" s="11">
        <v>4.9000000000000002E-2</v>
      </c>
      <c r="C34" s="12">
        <v>0.219</v>
      </c>
      <c r="D34" s="13"/>
      <c r="E34" s="11">
        <v>0.06</v>
      </c>
      <c r="F34" s="12">
        <v>0.16300000000000001</v>
      </c>
      <c r="G34" s="13"/>
      <c r="H34" s="11">
        <v>7.4999999999999997E-2</v>
      </c>
      <c r="I34" s="12">
        <v>0.156</v>
      </c>
      <c r="J34" s="13"/>
      <c r="K34" s="11">
        <v>0.107</v>
      </c>
      <c r="L34" s="12">
        <v>0.14899999999999999</v>
      </c>
      <c r="M34" s="11">
        <v>0.104</v>
      </c>
    </row>
    <row r="35" spans="1:13" x14ac:dyDescent="0.3">
      <c r="A35" s="99"/>
      <c r="B35" s="15">
        <v>15246</v>
      </c>
      <c r="C35" s="16">
        <v>97397</v>
      </c>
      <c r="D35" s="19"/>
      <c r="E35" s="15">
        <v>46048</v>
      </c>
      <c r="F35" s="16">
        <v>210508</v>
      </c>
      <c r="G35" s="19"/>
      <c r="H35" s="15">
        <v>59559</v>
      </c>
      <c r="I35" s="16">
        <v>196997</v>
      </c>
      <c r="J35" s="19"/>
      <c r="K35" s="15">
        <v>60270</v>
      </c>
      <c r="L35" s="16">
        <v>134702</v>
      </c>
      <c r="M35" s="15">
        <v>61584</v>
      </c>
    </row>
    <row r="37" spans="1:13" x14ac:dyDescent="0.3">
      <c r="A37" s="20" t="s">
        <v>68</v>
      </c>
      <c r="B37" s="4"/>
      <c r="C37" s="4"/>
      <c r="D37" s="4"/>
      <c r="E37" s="4"/>
      <c r="F37" s="4"/>
      <c r="G37" s="4"/>
      <c r="H37" s="4"/>
      <c r="I37" s="4"/>
      <c r="J37" s="4"/>
      <c r="K37" s="4"/>
      <c r="L37" s="4"/>
      <c r="M37" s="4"/>
    </row>
    <row r="38" spans="1:13" x14ac:dyDescent="0.3">
      <c r="A38" s="5"/>
      <c r="B38" s="6" t="s">
        <v>129</v>
      </c>
      <c r="C38" s="7" t="s">
        <v>130</v>
      </c>
      <c r="D38" s="8"/>
      <c r="E38" s="9" t="s">
        <v>131</v>
      </c>
      <c r="F38" s="7" t="s">
        <v>132</v>
      </c>
      <c r="G38" s="8"/>
      <c r="H38" s="9" t="s">
        <v>133</v>
      </c>
      <c r="I38" s="7" t="s">
        <v>134</v>
      </c>
      <c r="J38" s="8"/>
      <c r="K38" s="9" t="s">
        <v>12</v>
      </c>
      <c r="L38" s="6" t="s">
        <v>13</v>
      </c>
      <c r="M38" s="6" t="s">
        <v>14</v>
      </c>
    </row>
    <row r="39" spans="1:13" x14ac:dyDescent="0.3">
      <c r="A39" s="98" t="s">
        <v>15</v>
      </c>
      <c r="B39" s="11">
        <v>0.54400000000000004</v>
      </c>
      <c r="C39" s="12">
        <v>0.751</v>
      </c>
      <c r="D39" s="13"/>
      <c r="E39" s="11">
        <v>0.55900000000000005</v>
      </c>
      <c r="F39" s="12">
        <v>0.67200000000000004</v>
      </c>
      <c r="G39" s="13"/>
      <c r="H39" s="11">
        <v>0.58799999999999997</v>
      </c>
      <c r="I39" s="12">
        <v>0.65700000000000003</v>
      </c>
      <c r="J39" s="13"/>
      <c r="K39" s="11">
        <v>0.629</v>
      </c>
      <c r="L39" s="12">
        <v>0.66900000000000004</v>
      </c>
      <c r="M39" s="11">
        <v>0.57199999999999995</v>
      </c>
    </row>
    <row r="40" spans="1:13" x14ac:dyDescent="0.3">
      <c r="A40" s="99"/>
      <c r="B40" s="15">
        <v>167868</v>
      </c>
      <c r="C40" s="16">
        <v>333349</v>
      </c>
      <c r="D40" s="17"/>
      <c r="E40" s="15">
        <v>426544</v>
      </c>
      <c r="F40" s="16">
        <v>870174</v>
      </c>
      <c r="G40" s="17"/>
      <c r="H40" s="15">
        <v>469453</v>
      </c>
      <c r="I40" s="16">
        <v>827265</v>
      </c>
      <c r="J40" s="17"/>
      <c r="K40" s="15">
        <v>352978</v>
      </c>
      <c r="L40" s="16">
        <v>604805</v>
      </c>
      <c r="M40" s="15">
        <v>338935</v>
      </c>
    </row>
    <row r="41" spans="1:13" x14ac:dyDescent="0.3">
      <c r="A41" s="98" t="s">
        <v>16</v>
      </c>
      <c r="B41" s="11">
        <v>0.312</v>
      </c>
      <c r="C41" s="12">
        <v>0.60299999999999998</v>
      </c>
      <c r="D41" s="13"/>
      <c r="E41" s="11">
        <v>0.33</v>
      </c>
      <c r="F41" s="12">
        <v>0.501</v>
      </c>
      <c r="G41" s="13"/>
      <c r="H41" s="11">
        <v>0.36299999999999999</v>
      </c>
      <c r="I41" s="12">
        <v>0.48499999999999999</v>
      </c>
      <c r="J41" s="13"/>
      <c r="K41" s="11">
        <v>0.41399999999999998</v>
      </c>
      <c r="L41" s="12">
        <v>0.48299999999999998</v>
      </c>
      <c r="M41" s="11">
        <v>0.39</v>
      </c>
    </row>
    <row r="42" spans="1:13" x14ac:dyDescent="0.3">
      <c r="A42" s="99"/>
      <c r="B42" s="15">
        <v>96196</v>
      </c>
      <c r="C42" s="16">
        <v>267674</v>
      </c>
      <c r="D42" s="17"/>
      <c r="E42" s="15">
        <v>251523</v>
      </c>
      <c r="F42" s="16">
        <v>649096</v>
      </c>
      <c r="G42" s="17"/>
      <c r="H42" s="15">
        <v>289497</v>
      </c>
      <c r="I42" s="16">
        <v>611122</v>
      </c>
      <c r="J42" s="17"/>
      <c r="K42" s="15">
        <v>232345</v>
      </c>
      <c r="L42" s="16">
        <v>437143</v>
      </c>
      <c r="M42" s="15">
        <v>231131</v>
      </c>
    </row>
    <row r="43" spans="1:13" x14ac:dyDescent="0.3">
      <c r="A43" s="98" t="s">
        <v>17</v>
      </c>
      <c r="B43" s="11">
        <v>0.23200000000000001</v>
      </c>
      <c r="C43" s="12">
        <v>0.14799999999999999</v>
      </c>
      <c r="D43" s="13"/>
      <c r="E43" s="11">
        <v>0.23</v>
      </c>
      <c r="F43" s="12">
        <v>0.17100000000000001</v>
      </c>
      <c r="G43" s="13"/>
      <c r="H43" s="11">
        <v>0.22500000000000001</v>
      </c>
      <c r="I43" s="12">
        <v>0.17199999999999999</v>
      </c>
      <c r="J43" s="13"/>
      <c r="K43" s="11">
        <v>0.215</v>
      </c>
      <c r="L43" s="12">
        <v>0.185</v>
      </c>
      <c r="M43" s="11">
        <v>0.182</v>
      </c>
    </row>
    <row r="44" spans="1:13" x14ac:dyDescent="0.3">
      <c r="A44" s="99"/>
      <c r="B44" s="15">
        <v>71672</v>
      </c>
      <c r="C44" s="16">
        <v>65675</v>
      </c>
      <c r="D44" s="17"/>
      <c r="E44" s="15">
        <v>175021</v>
      </c>
      <c r="F44" s="16">
        <v>221078</v>
      </c>
      <c r="G44" s="17"/>
      <c r="H44" s="15">
        <v>179956</v>
      </c>
      <c r="I44" s="16">
        <v>216143</v>
      </c>
      <c r="J44" s="17"/>
      <c r="K44" s="15">
        <v>120633</v>
      </c>
      <c r="L44" s="16">
        <v>167662</v>
      </c>
      <c r="M44" s="15">
        <v>107804</v>
      </c>
    </row>
    <row r="45" spans="1:13" x14ac:dyDescent="0.3">
      <c r="A45" s="98" t="s">
        <v>18</v>
      </c>
      <c r="B45" s="11">
        <v>0.47199999999999998</v>
      </c>
      <c r="C45" s="12">
        <v>0.58899999999999997</v>
      </c>
      <c r="D45" s="13"/>
      <c r="E45" s="11">
        <v>0.48199999999999998</v>
      </c>
      <c r="F45" s="12">
        <v>0.53300000000000003</v>
      </c>
      <c r="G45" s="13"/>
      <c r="H45" s="11">
        <v>0.504</v>
      </c>
      <c r="I45" s="12">
        <v>0.52</v>
      </c>
      <c r="J45" s="13"/>
      <c r="K45" s="11">
        <v>0.53</v>
      </c>
      <c r="L45" s="12">
        <v>0.53300000000000003</v>
      </c>
      <c r="M45" s="11">
        <v>0.47</v>
      </c>
    </row>
    <row r="46" spans="1:13" x14ac:dyDescent="0.3">
      <c r="A46" s="99"/>
      <c r="B46" s="15">
        <v>145792</v>
      </c>
      <c r="C46" s="16">
        <v>261683</v>
      </c>
      <c r="D46" s="17"/>
      <c r="E46" s="15">
        <v>367454</v>
      </c>
      <c r="F46" s="16">
        <v>690042</v>
      </c>
      <c r="G46" s="17"/>
      <c r="H46" s="15">
        <v>402341</v>
      </c>
      <c r="I46" s="16">
        <v>655155</v>
      </c>
      <c r="J46" s="17"/>
      <c r="K46" s="15">
        <v>297210</v>
      </c>
      <c r="L46" s="16">
        <v>481657</v>
      </c>
      <c r="M46" s="15">
        <v>278629</v>
      </c>
    </row>
    <row r="47" spans="1:13" x14ac:dyDescent="0.3">
      <c r="A47" s="98" t="s">
        <v>19</v>
      </c>
      <c r="B47" s="11">
        <v>7.1999999999999995E-2</v>
      </c>
      <c r="C47" s="12">
        <v>0.161</v>
      </c>
      <c r="D47" s="13"/>
      <c r="E47" s="11">
        <v>7.8E-2</v>
      </c>
      <c r="F47" s="12">
        <v>0.13900000000000001</v>
      </c>
      <c r="G47" s="13"/>
      <c r="H47" s="11">
        <v>8.4000000000000005E-2</v>
      </c>
      <c r="I47" s="12">
        <v>0.13700000000000001</v>
      </c>
      <c r="J47" s="13"/>
      <c r="K47" s="11">
        <v>9.9000000000000005E-2</v>
      </c>
      <c r="L47" s="12">
        <v>0.13600000000000001</v>
      </c>
      <c r="M47" s="11">
        <v>0.10199999999999999</v>
      </c>
    </row>
    <row r="48" spans="1:13" x14ac:dyDescent="0.3">
      <c r="A48" s="99"/>
      <c r="B48" s="15">
        <v>22076</v>
      </c>
      <c r="C48" s="16">
        <v>71666</v>
      </c>
      <c r="D48" s="17"/>
      <c r="E48" s="15">
        <v>59090</v>
      </c>
      <c r="F48" s="16">
        <v>180132</v>
      </c>
      <c r="G48" s="17"/>
      <c r="H48" s="15">
        <v>67112</v>
      </c>
      <c r="I48" s="16">
        <v>172110</v>
      </c>
      <c r="J48" s="17"/>
      <c r="K48" s="15">
        <v>55768</v>
      </c>
      <c r="L48" s="16">
        <v>123148</v>
      </c>
      <c r="M48" s="15">
        <v>60306</v>
      </c>
    </row>
    <row r="49" spans="1:13" x14ac:dyDescent="0.3">
      <c r="A49" s="98" t="s">
        <v>20</v>
      </c>
      <c r="B49" s="11">
        <v>0.49</v>
      </c>
      <c r="C49" s="12">
        <v>0.52600000000000002</v>
      </c>
      <c r="D49" s="13"/>
      <c r="E49" s="11">
        <v>0.49399999999999999</v>
      </c>
      <c r="F49" s="12">
        <v>0.504</v>
      </c>
      <c r="G49" s="13"/>
      <c r="H49" s="11">
        <v>0.50800000000000001</v>
      </c>
      <c r="I49" s="12">
        <v>0.495</v>
      </c>
      <c r="J49" s="13"/>
      <c r="K49" s="11">
        <v>0.51700000000000002</v>
      </c>
      <c r="L49" s="12">
        <v>0.51500000000000001</v>
      </c>
      <c r="M49" s="11">
        <v>0.46300000000000002</v>
      </c>
    </row>
    <row r="50" spans="1:13" x14ac:dyDescent="0.3">
      <c r="A50" s="99"/>
      <c r="B50" s="15">
        <v>151120</v>
      </c>
      <c r="C50" s="16">
        <v>233653</v>
      </c>
      <c r="D50" s="17"/>
      <c r="E50" s="15">
        <v>376638</v>
      </c>
      <c r="F50" s="16">
        <v>652862</v>
      </c>
      <c r="G50" s="17"/>
      <c r="H50" s="15">
        <v>405718</v>
      </c>
      <c r="I50" s="16">
        <v>623782</v>
      </c>
      <c r="J50" s="17"/>
      <c r="K50" s="15">
        <v>289853</v>
      </c>
      <c r="L50" s="16">
        <v>465426</v>
      </c>
      <c r="M50" s="15">
        <v>274221</v>
      </c>
    </row>
    <row r="51" spans="1:13" x14ac:dyDescent="0.3">
      <c r="A51" s="98" t="s">
        <v>21</v>
      </c>
      <c r="B51" s="11">
        <v>5.3999999999999999E-2</v>
      </c>
      <c r="C51" s="12">
        <v>0.22500000000000001</v>
      </c>
      <c r="D51" s="13"/>
      <c r="E51" s="11">
        <v>6.5000000000000002E-2</v>
      </c>
      <c r="F51" s="12">
        <v>0.16800000000000001</v>
      </c>
      <c r="G51" s="13"/>
      <c r="H51" s="11">
        <v>0.08</v>
      </c>
      <c r="I51" s="12">
        <v>0.16200000000000001</v>
      </c>
      <c r="J51" s="13"/>
      <c r="K51" s="11">
        <v>0.113</v>
      </c>
      <c r="L51" s="12">
        <v>0.154</v>
      </c>
      <c r="M51" s="11">
        <v>0.109</v>
      </c>
    </row>
    <row r="52" spans="1:13" x14ac:dyDescent="0.3">
      <c r="A52" s="99"/>
      <c r="B52" s="15">
        <v>16748</v>
      </c>
      <c r="C52" s="16">
        <v>99696</v>
      </c>
      <c r="D52" s="19"/>
      <c r="E52" s="15">
        <v>49906</v>
      </c>
      <c r="F52" s="16">
        <v>217312</v>
      </c>
      <c r="G52" s="19"/>
      <c r="H52" s="15">
        <v>63735</v>
      </c>
      <c r="I52" s="16">
        <v>203483</v>
      </c>
      <c r="J52" s="19"/>
      <c r="K52" s="15">
        <v>63125</v>
      </c>
      <c r="L52" s="16">
        <v>139379</v>
      </c>
      <c r="M52" s="15">
        <v>64714</v>
      </c>
    </row>
    <row r="54" spans="1:13" x14ac:dyDescent="0.3">
      <c r="A54" s="20" t="s">
        <v>69</v>
      </c>
      <c r="B54" s="4"/>
      <c r="C54" s="4"/>
      <c r="D54" s="4"/>
      <c r="E54" s="4"/>
      <c r="F54" s="4"/>
      <c r="G54" s="4"/>
      <c r="H54" s="4"/>
      <c r="I54" s="4"/>
      <c r="J54" s="4"/>
      <c r="K54" s="4"/>
      <c r="L54" s="4"/>
      <c r="M54" s="4"/>
    </row>
    <row r="55" spans="1:13" x14ac:dyDescent="0.3">
      <c r="A55" s="5"/>
      <c r="B55" s="6" t="s">
        <v>129</v>
      </c>
      <c r="C55" s="7" t="s">
        <v>130</v>
      </c>
      <c r="D55" s="8"/>
      <c r="E55" s="9" t="s">
        <v>131</v>
      </c>
      <c r="F55" s="7" t="s">
        <v>132</v>
      </c>
      <c r="G55" s="8"/>
      <c r="H55" s="9" t="s">
        <v>133</v>
      </c>
      <c r="I55" s="7" t="s">
        <v>134</v>
      </c>
      <c r="J55" s="8"/>
      <c r="K55" s="9" t="s">
        <v>12</v>
      </c>
      <c r="L55" s="6" t="s">
        <v>13</v>
      </c>
      <c r="M55" s="6" t="s">
        <v>14</v>
      </c>
    </row>
    <row r="56" spans="1:13" x14ac:dyDescent="0.3">
      <c r="A56" s="98" t="s">
        <v>15</v>
      </c>
      <c r="B56" s="11">
        <v>0.52100000000000002</v>
      </c>
      <c r="C56" s="12">
        <v>0.73299999999999998</v>
      </c>
      <c r="D56" s="13"/>
      <c r="E56" s="11">
        <v>0.54600000000000004</v>
      </c>
      <c r="F56" s="12">
        <v>0.65400000000000003</v>
      </c>
      <c r="G56" s="13"/>
      <c r="H56" s="11">
        <v>0.57499999999999996</v>
      </c>
      <c r="I56" s="12">
        <v>0.65200000000000002</v>
      </c>
      <c r="J56" s="13"/>
      <c r="K56" s="11">
        <v>0.61499999999999999</v>
      </c>
      <c r="L56" s="12">
        <v>0.66500000000000004</v>
      </c>
      <c r="M56" s="11">
        <v>0.56599999999999995</v>
      </c>
    </row>
    <row r="57" spans="1:13" x14ac:dyDescent="0.3">
      <c r="A57" s="99"/>
      <c r="B57" s="15">
        <v>131060</v>
      </c>
      <c r="C57" s="16">
        <v>386069</v>
      </c>
      <c r="D57" s="17"/>
      <c r="E57" s="15">
        <v>328311</v>
      </c>
      <c r="F57" s="16">
        <v>977247</v>
      </c>
      <c r="G57" s="17"/>
      <c r="H57" s="15">
        <v>461713</v>
      </c>
      <c r="I57" s="16">
        <v>843845</v>
      </c>
      <c r="J57" s="17"/>
      <c r="K57" s="15">
        <v>356001</v>
      </c>
      <c r="L57" s="16">
        <v>611045</v>
      </c>
      <c r="M57" s="15">
        <v>338512</v>
      </c>
    </row>
    <row r="58" spans="1:13" x14ac:dyDescent="0.3">
      <c r="A58" s="98" t="s">
        <v>16</v>
      </c>
      <c r="B58" s="11">
        <v>0.28799999999999998</v>
      </c>
      <c r="C58" s="12">
        <v>0.56499999999999995</v>
      </c>
      <c r="D58" s="13"/>
      <c r="E58" s="11">
        <v>0.307</v>
      </c>
      <c r="F58" s="12">
        <v>0.48199999999999998</v>
      </c>
      <c r="G58" s="13"/>
      <c r="H58" s="11">
        <v>0.35</v>
      </c>
      <c r="I58" s="12">
        <v>0.48199999999999998</v>
      </c>
      <c r="J58" s="13"/>
      <c r="K58" s="11">
        <v>0.40400000000000003</v>
      </c>
      <c r="L58" s="12">
        <v>0.48</v>
      </c>
      <c r="M58" s="11">
        <v>0.38300000000000001</v>
      </c>
    </row>
    <row r="59" spans="1:13" x14ac:dyDescent="0.3">
      <c r="A59" s="99"/>
      <c r="B59" s="15">
        <v>72442</v>
      </c>
      <c r="C59" s="16">
        <v>297567</v>
      </c>
      <c r="D59" s="17"/>
      <c r="E59" s="15">
        <v>184694</v>
      </c>
      <c r="F59" s="16">
        <v>720018</v>
      </c>
      <c r="G59" s="17"/>
      <c r="H59" s="15">
        <v>280663</v>
      </c>
      <c r="I59" s="16">
        <v>624049</v>
      </c>
      <c r="J59" s="17"/>
      <c r="K59" s="15">
        <v>233897</v>
      </c>
      <c r="L59" s="16">
        <v>441601</v>
      </c>
      <c r="M59" s="15">
        <v>229214</v>
      </c>
    </row>
    <row r="60" spans="1:13" x14ac:dyDescent="0.3">
      <c r="A60" s="98" t="s">
        <v>17</v>
      </c>
      <c r="B60" s="11">
        <v>0.23300000000000001</v>
      </c>
      <c r="C60" s="12">
        <v>0.16800000000000001</v>
      </c>
      <c r="D60" s="13"/>
      <c r="E60" s="11">
        <v>0.23899999999999999</v>
      </c>
      <c r="F60" s="12">
        <v>0.17199999999999999</v>
      </c>
      <c r="G60" s="13"/>
      <c r="H60" s="11">
        <v>0.22600000000000001</v>
      </c>
      <c r="I60" s="12">
        <v>0.17</v>
      </c>
      <c r="J60" s="13"/>
      <c r="K60" s="11">
        <v>0.21099999999999999</v>
      </c>
      <c r="L60" s="12">
        <v>0.184</v>
      </c>
      <c r="M60" s="11">
        <v>0.183</v>
      </c>
    </row>
    <row r="61" spans="1:13" x14ac:dyDescent="0.3">
      <c r="A61" s="99"/>
      <c r="B61" s="15">
        <v>58618</v>
      </c>
      <c r="C61" s="16">
        <v>88502</v>
      </c>
      <c r="D61" s="17"/>
      <c r="E61" s="15">
        <v>143617</v>
      </c>
      <c r="F61" s="16">
        <v>257229</v>
      </c>
      <c r="G61" s="17"/>
      <c r="H61" s="15">
        <v>181050</v>
      </c>
      <c r="I61" s="16">
        <v>219796</v>
      </c>
      <c r="J61" s="17"/>
      <c r="K61" s="15">
        <v>122104</v>
      </c>
      <c r="L61" s="16">
        <v>169444</v>
      </c>
      <c r="M61" s="15">
        <v>109298</v>
      </c>
    </row>
    <row r="62" spans="1:13" x14ac:dyDescent="0.3">
      <c r="A62" s="98" t="s">
        <v>18</v>
      </c>
      <c r="B62" s="11">
        <v>0.45600000000000002</v>
      </c>
      <c r="C62" s="12">
        <v>0.57099999999999995</v>
      </c>
      <c r="D62" s="13"/>
      <c r="E62" s="11">
        <v>0.47399999999999998</v>
      </c>
      <c r="F62" s="12">
        <v>0.51900000000000002</v>
      </c>
      <c r="G62" s="13"/>
      <c r="H62" s="11">
        <v>0.495</v>
      </c>
      <c r="I62" s="12">
        <v>0.51300000000000001</v>
      </c>
      <c r="J62" s="13"/>
      <c r="K62" s="11">
        <v>0.51700000000000002</v>
      </c>
      <c r="L62" s="12">
        <v>0.52700000000000002</v>
      </c>
      <c r="M62" s="11">
        <v>0.46300000000000002</v>
      </c>
    </row>
    <row r="63" spans="1:13" x14ac:dyDescent="0.3">
      <c r="A63" s="99"/>
      <c r="B63" s="15">
        <v>114590</v>
      </c>
      <c r="C63" s="16">
        <v>300793</v>
      </c>
      <c r="D63" s="17"/>
      <c r="E63" s="15">
        <v>285046</v>
      </c>
      <c r="F63" s="16">
        <v>775978</v>
      </c>
      <c r="G63" s="17"/>
      <c r="H63" s="15">
        <v>397033</v>
      </c>
      <c r="I63" s="16">
        <v>663991</v>
      </c>
      <c r="J63" s="17"/>
      <c r="K63" s="15">
        <v>299303</v>
      </c>
      <c r="L63" s="16">
        <v>484441</v>
      </c>
      <c r="M63" s="15">
        <v>277280</v>
      </c>
    </row>
    <row r="64" spans="1:13" x14ac:dyDescent="0.3">
      <c r="A64" s="98" t="s">
        <v>19</v>
      </c>
      <c r="B64" s="11">
        <v>6.6000000000000003E-2</v>
      </c>
      <c r="C64" s="12">
        <v>0.16200000000000001</v>
      </c>
      <c r="D64" s="13"/>
      <c r="E64" s="11">
        <v>7.1999999999999995E-2</v>
      </c>
      <c r="F64" s="12">
        <v>0.13500000000000001</v>
      </c>
      <c r="G64" s="13"/>
      <c r="H64" s="11">
        <v>8.1000000000000003E-2</v>
      </c>
      <c r="I64" s="12">
        <v>0.13900000000000001</v>
      </c>
      <c r="J64" s="13"/>
      <c r="K64" s="11">
        <v>9.8000000000000004E-2</v>
      </c>
      <c r="L64" s="12">
        <v>0.13800000000000001</v>
      </c>
      <c r="M64" s="11">
        <v>0.10199999999999999</v>
      </c>
    </row>
    <row r="65" spans="1:13" x14ac:dyDescent="0.3">
      <c r="A65" s="99"/>
      <c r="B65" s="15">
        <v>16470</v>
      </c>
      <c r="C65" s="16">
        <v>85276</v>
      </c>
      <c r="D65" s="17"/>
      <c r="E65" s="15">
        <v>43265</v>
      </c>
      <c r="F65" s="16">
        <v>201269</v>
      </c>
      <c r="G65" s="17"/>
      <c r="H65" s="15">
        <v>64680</v>
      </c>
      <c r="I65" s="16">
        <v>179854</v>
      </c>
      <c r="J65" s="17"/>
      <c r="K65" s="15">
        <v>56698</v>
      </c>
      <c r="L65" s="16">
        <v>126604</v>
      </c>
      <c r="M65" s="15">
        <v>61232</v>
      </c>
    </row>
    <row r="66" spans="1:13" x14ac:dyDescent="0.3">
      <c r="A66" s="98" t="s">
        <v>20</v>
      </c>
      <c r="B66" s="11">
        <v>0.47299999999999998</v>
      </c>
      <c r="C66" s="12">
        <v>0.504</v>
      </c>
      <c r="D66" s="13"/>
      <c r="E66" s="11">
        <v>0.48399999999999999</v>
      </c>
      <c r="F66" s="12">
        <v>0.49199999999999999</v>
      </c>
      <c r="G66" s="13"/>
      <c r="H66" s="11">
        <v>0.496</v>
      </c>
      <c r="I66" s="12">
        <v>0.48599999999999999</v>
      </c>
      <c r="J66" s="13"/>
      <c r="K66" s="11">
        <v>0.5</v>
      </c>
      <c r="L66" s="12">
        <v>0.50600000000000001</v>
      </c>
      <c r="M66" s="11">
        <v>0.45400000000000001</v>
      </c>
    </row>
    <row r="67" spans="1:13" x14ac:dyDescent="0.3">
      <c r="A67" s="99"/>
      <c r="B67" s="15">
        <v>118825</v>
      </c>
      <c r="C67" s="16">
        <v>265564</v>
      </c>
      <c r="D67" s="17"/>
      <c r="E67" s="15">
        <v>291341</v>
      </c>
      <c r="F67" s="16">
        <v>735314</v>
      </c>
      <c r="G67" s="17"/>
      <c r="H67" s="15">
        <v>397666</v>
      </c>
      <c r="I67" s="16">
        <v>628989</v>
      </c>
      <c r="J67" s="17"/>
      <c r="K67" s="15">
        <v>289542</v>
      </c>
      <c r="L67" s="16">
        <v>465264</v>
      </c>
      <c r="M67" s="15">
        <v>271849</v>
      </c>
    </row>
    <row r="68" spans="1:13" x14ac:dyDescent="0.3">
      <c r="A68" s="98" t="s">
        <v>21</v>
      </c>
      <c r="B68" s="11">
        <v>4.9000000000000002E-2</v>
      </c>
      <c r="C68" s="12">
        <v>0.22900000000000001</v>
      </c>
      <c r="D68" s="13"/>
      <c r="E68" s="11">
        <v>6.0999999999999999E-2</v>
      </c>
      <c r="F68" s="12">
        <v>0.16200000000000001</v>
      </c>
      <c r="G68" s="13"/>
      <c r="H68" s="11">
        <v>0.08</v>
      </c>
      <c r="I68" s="12">
        <v>0.16600000000000001</v>
      </c>
      <c r="J68" s="13"/>
      <c r="K68" s="11">
        <v>0.115</v>
      </c>
      <c r="L68" s="12">
        <v>0.159</v>
      </c>
      <c r="M68" s="11">
        <v>0.111</v>
      </c>
    </row>
    <row r="69" spans="1:13" x14ac:dyDescent="0.3">
      <c r="A69" s="99"/>
      <c r="B69" s="15">
        <v>12235</v>
      </c>
      <c r="C69" s="16">
        <v>120505</v>
      </c>
      <c r="D69" s="19"/>
      <c r="E69" s="15">
        <v>36970</v>
      </c>
      <c r="F69" s="16">
        <v>241933</v>
      </c>
      <c r="G69" s="19"/>
      <c r="H69" s="15">
        <v>64047</v>
      </c>
      <c r="I69" s="16">
        <v>214856</v>
      </c>
      <c r="J69" s="19"/>
      <c r="K69" s="15">
        <v>66459</v>
      </c>
      <c r="L69" s="16">
        <v>145781</v>
      </c>
      <c r="M69" s="15">
        <v>66663</v>
      </c>
    </row>
    <row r="71" spans="1:13" x14ac:dyDescent="0.3">
      <c r="A71" s="20" t="s">
        <v>70</v>
      </c>
      <c r="B71" s="4"/>
      <c r="C71" s="4"/>
      <c r="D71" s="4"/>
      <c r="E71" s="4"/>
      <c r="F71" s="4"/>
      <c r="G71" s="4"/>
      <c r="H71" s="4"/>
      <c r="I71" s="4"/>
      <c r="J71" s="4"/>
      <c r="K71" s="4"/>
      <c r="L71" s="4"/>
      <c r="M71" s="4"/>
    </row>
    <row r="72" spans="1:13" x14ac:dyDescent="0.3">
      <c r="A72" s="5"/>
      <c r="B72" s="6" t="s">
        <v>129</v>
      </c>
      <c r="C72" s="7" t="s">
        <v>130</v>
      </c>
      <c r="D72" s="8"/>
      <c r="E72" s="9" t="s">
        <v>131</v>
      </c>
      <c r="F72" s="7" t="s">
        <v>132</v>
      </c>
      <c r="G72" s="8"/>
      <c r="H72" s="9" t="s">
        <v>133</v>
      </c>
      <c r="I72" s="7" t="s">
        <v>134</v>
      </c>
      <c r="J72" s="8"/>
      <c r="K72" s="9" t="s">
        <v>12</v>
      </c>
      <c r="L72" s="6" t="s">
        <v>13</v>
      </c>
      <c r="M72" s="6" t="s">
        <v>14</v>
      </c>
    </row>
    <row r="73" spans="1:13" x14ac:dyDescent="0.3">
      <c r="A73" s="98" t="s">
        <v>15</v>
      </c>
      <c r="B73" s="11">
        <v>0.56100000000000005</v>
      </c>
      <c r="C73" s="12">
        <v>0.76700000000000002</v>
      </c>
      <c r="D73" s="13"/>
      <c r="E73" s="11">
        <v>0.58699999999999997</v>
      </c>
      <c r="F73" s="12">
        <v>0.69</v>
      </c>
      <c r="G73" s="13"/>
      <c r="H73" s="11">
        <v>0.61699999999999999</v>
      </c>
      <c r="I73" s="12">
        <v>0.68799999999999994</v>
      </c>
      <c r="J73" s="13"/>
      <c r="K73" s="11">
        <v>0.65600000000000003</v>
      </c>
      <c r="L73" s="12">
        <v>0.70199999999999996</v>
      </c>
      <c r="M73" s="11">
        <v>0.60199999999999998</v>
      </c>
    </row>
    <row r="74" spans="1:13" x14ac:dyDescent="0.3">
      <c r="A74" s="99"/>
      <c r="B74" s="15">
        <v>141013</v>
      </c>
      <c r="C74" s="16">
        <v>403886</v>
      </c>
      <c r="D74" s="17"/>
      <c r="E74" s="15">
        <v>353019</v>
      </c>
      <c r="F74" s="16">
        <v>1031918</v>
      </c>
      <c r="G74" s="17"/>
      <c r="H74" s="15">
        <v>494973</v>
      </c>
      <c r="I74" s="16">
        <v>889964</v>
      </c>
      <c r="J74" s="17"/>
      <c r="K74" s="15">
        <v>379397</v>
      </c>
      <c r="L74" s="16">
        <v>645284</v>
      </c>
      <c r="M74" s="15">
        <v>360256</v>
      </c>
    </row>
    <row r="75" spans="1:13" x14ac:dyDescent="0.3">
      <c r="A75" s="98" t="s">
        <v>16</v>
      </c>
      <c r="B75" s="11">
        <v>0.30099999999999999</v>
      </c>
      <c r="C75" s="12">
        <v>0.57899999999999996</v>
      </c>
      <c r="D75" s="13"/>
      <c r="E75" s="11">
        <v>0.32</v>
      </c>
      <c r="F75" s="12">
        <v>0.497</v>
      </c>
      <c r="G75" s="13"/>
      <c r="H75" s="11">
        <v>0.36399999999999999</v>
      </c>
      <c r="I75" s="12">
        <v>0.497</v>
      </c>
      <c r="J75" s="13"/>
      <c r="K75" s="11">
        <v>0.41899999999999998</v>
      </c>
      <c r="L75" s="12">
        <v>0.495</v>
      </c>
      <c r="M75" s="11">
        <v>0.39700000000000002</v>
      </c>
    </row>
    <row r="76" spans="1:13" x14ac:dyDescent="0.3">
      <c r="A76" s="99"/>
      <c r="B76" s="15">
        <v>75577</v>
      </c>
      <c r="C76" s="16">
        <v>305056</v>
      </c>
      <c r="D76" s="17"/>
      <c r="E76" s="15">
        <v>192716</v>
      </c>
      <c r="F76" s="16">
        <v>742454</v>
      </c>
      <c r="G76" s="17"/>
      <c r="H76" s="15">
        <v>291757</v>
      </c>
      <c r="I76" s="16">
        <v>643413</v>
      </c>
      <c r="J76" s="17"/>
      <c r="K76" s="15">
        <v>242475</v>
      </c>
      <c r="L76" s="16">
        <v>454815</v>
      </c>
      <c r="M76" s="15">
        <v>237880</v>
      </c>
    </row>
    <row r="77" spans="1:13" x14ac:dyDescent="0.3">
      <c r="A77" s="98" t="s">
        <v>17</v>
      </c>
      <c r="B77" s="11">
        <v>0.26</v>
      </c>
      <c r="C77" s="12">
        <v>0.188</v>
      </c>
      <c r="D77" s="13"/>
      <c r="E77" s="11">
        <v>0.26700000000000002</v>
      </c>
      <c r="F77" s="12">
        <v>0.19400000000000001</v>
      </c>
      <c r="G77" s="13"/>
      <c r="H77" s="11">
        <v>0.253</v>
      </c>
      <c r="I77" s="12">
        <v>0.191</v>
      </c>
      <c r="J77" s="13"/>
      <c r="K77" s="11">
        <v>0.23699999999999999</v>
      </c>
      <c r="L77" s="12">
        <v>0.20699999999999999</v>
      </c>
      <c r="M77" s="11">
        <v>0.20399999999999999</v>
      </c>
    </row>
    <row r="78" spans="1:13" x14ac:dyDescent="0.3">
      <c r="A78" s="99"/>
      <c r="B78" s="15">
        <v>65436</v>
      </c>
      <c r="C78" s="16">
        <v>98830</v>
      </c>
      <c r="D78" s="17"/>
      <c r="E78" s="15">
        <v>160303</v>
      </c>
      <c r="F78" s="16">
        <v>289464</v>
      </c>
      <c r="G78" s="17"/>
      <c r="H78" s="15">
        <v>203216</v>
      </c>
      <c r="I78" s="16">
        <v>246551</v>
      </c>
      <c r="J78" s="17"/>
      <c r="K78" s="15">
        <v>136922</v>
      </c>
      <c r="L78" s="16">
        <v>190469</v>
      </c>
      <c r="M78" s="15">
        <v>122376</v>
      </c>
    </row>
    <row r="79" spans="1:13" x14ac:dyDescent="0.3">
      <c r="A79" s="98" t="s">
        <v>18</v>
      </c>
      <c r="B79" s="11">
        <v>0.49</v>
      </c>
      <c r="C79" s="12">
        <v>0.6</v>
      </c>
      <c r="D79" s="13"/>
      <c r="E79" s="11">
        <v>0.51</v>
      </c>
      <c r="F79" s="12">
        <v>0.55000000000000004</v>
      </c>
      <c r="G79" s="13"/>
      <c r="H79" s="11">
        <v>0.53100000000000003</v>
      </c>
      <c r="I79" s="12">
        <v>0.54300000000000004</v>
      </c>
      <c r="J79" s="13"/>
      <c r="K79" s="11">
        <v>0.55200000000000005</v>
      </c>
      <c r="L79" s="12">
        <v>0.55900000000000005</v>
      </c>
      <c r="M79" s="11">
        <v>0.495</v>
      </c>
    </row>
    <row r="80" spans="1:13" x14ac:dyDescent="0.3">
      <c r="A80" s="99"/>
      <c r="B80" s="15">
        <v>123240</v>
      </c>
      <c r="C80" s="16">
        <v>315838</v>
      </c>
      <c r="D80" s="17"/>
      <c r="E80" s="15">
        <v>306724</v>
      </c>
      <c r="F80" s="16">
        <v>822688</v>
      </c>
      <c r="G80" s="17"/>
      <c r="H80" s="15">
        <v>426056</v>
      </c>
      <c r="I80" s="16">
        <v>703356</v>
      </c>
      <c r="J80" s="17"/>
      <c r="K80" s="15">
        <v>319612</v>
      </c>
      <c r="L80" s="16">
        <v>513754</v>
      </c>
      <c r="M80" s="15">
        <v>296046</v>
      </c>
    </row>
    <row r="81" spans="1:13" x14ac:dyDescent="0.3">
      <c r="A81" s="98" t="s">
        <v>19</v>
      </c>
      <c r="B81" s="11">
        <v>7.0999999999999994E-2</v>
      </c>
      <c r="C81" s="12">
        <v>0.16700000000000001</v>
      </c>
      <c r="D81" s="13"/>
      <c r="E81" s="11">
        <v>7.6999999999999999E-2</v>
      </c>
      <c r="F81" s="12">
        <v>0.14000000000000001</v>
      </c>
      <c r="G81" s="13"/>
      <c r="H81" s="11">
        <v>8.5999999999999993E-2</v>
      </c>
      <c r="I81" s="12">
        <v>0.14399999999999999</v>
      </c>
      <c r="J81" s="13"/>
      <c r="K81" s="11">
        <v>0.10299999999999999</v>
      </c>
      <c r="L81" s="12">
        <v>0.14299999999999999</v>
      </c>
      <c r="M81" s="11">
        <v>0.107</v>
      </c>
    </row>
    <row r="82" spans="1:13" x14ac:dyDescent="0.3">
      <c r="A82" s="99"/>
      <c r="B82" s="15">
        <v>17773</v>
      </c>
      <c r="C82" s="16">
        <v>88048</v>
      </c>
      <c r="D82" s="17"/>
      <c r="E82" s="15">
        <v>46295</v>
      </c>
      <c r="F82" s="16">
        <v>209230</v>
      </c>
      <c r="G82" s="17"/>
      <c r="H82" s="15">
        <v>68917</v>
      </c>
      <c r="I82" s="16">
        <v>186608</v>
      </c>
      <c r="J82" s="17"/>
      <c r="K82" s="15">
        <v>59785</v>
      </c>
      <c r="L82" s="16">
        <v>131530</v>
      </c>
      <c r="M82" s="15">
        <v>64210</v>
      </c>
    </row>
    <row r="83" spans="1:13" x14ac:dyDescent="0.3">
      <c r="A83" s="98" t="s">
        <v>20</v>
      </c>
      <c r="B83" s="11">
        <v>0.50600000000000001</v>
      </c>
      <c r="C83" s="12">
        <v>0.53</v>
      </c>
      <c r="D83" s="13"/>
      <c r="E83" s="11">
        <v>0.51900000000000002</v>
      </c>
      <c r="F83" s="12">
        <v>0.52</v>
      </c>
      <c r="G83" s="13"/>
      <c r="H83" s="11">
        <v>0.53</v>
      </c>
      <c r="I83" s="12">
        <v>0.51400000000000001</v>
      </c>
      <c r="J83" s="13"/>
      <c r="K83" s="11">
        <v>0.53300000000000003</v>
      </c>
      <c r="L83" s="12">
        <v>0.53600000000000003</v>
      </c>
      <c r="M83" s="11">
        <v>0.48199999999999998</v>
      </c>
    </row>
    <row r="84" spans="1:13" x14ac:dyDescent="0.3">
      <c r="A84" s="99"/>
      <c r="B84" s="15">
        <v>127168</v>
      </c>
      <c r="C84" s="16">
        <v>279129</v>
      </c>
      <c r="D84" s="17"/>
      <c r="E84" s="15">
        <v>311925</v>
      </c>
      <c r="F84" s="16">
        <v>777866</v>
      </c>
      <c r="G84" s="17"/>
      <c r="H84" s="15">
        <v>424956</v>
      </c>
      <c r="I84" s="16">
        <v>664835</v>
      </c>
      <c r="J84" s="17"/>
      <c r="K84" s="15">
        <v>308486</v>
      </c>
      <c r="L84" s="16">
        <v>492494</v>
      </c>
      <c r="M84" s="15">
        <v>288811</v>
      </c>
    </row>
    <row r="85" spans="1:13" x14ac:dyDescent="0.3">
      <c r="A85" s="98" t="s">
        <v>21</v>
      </c>
      <c r="B85" s="11">
        <v>5.5E-2</v>
      </c>
      <c r="C85" s="12">
        <v>0.23699999999999999</v>
      </c>
      <c r="D85" s="13"/>
      <c r="E85" s="11">
        <v>6.8000000000000005E-2</v>
      </c>
      <c r="F85" s="12">
        <v>0.17</v>
      </c>
      <c r="G85" s="13"/>
      <c r="H85" s="11">
        <v>8.6999999999999994E-2</v>
      </c>
      <c r="I85" s="12">
        <v>0.17399999999999999</v>
      </c>
      <c r="J85" s="13"/>
      <c r="K85" s="11">
        <v>0.123</v>
      </c>
      <c r="L85" s="12">
        <v>0.16600000000000001</v>
      </c>
      <c r="M85" s="11">
        <v>0.11899999999999999</v>
      </c>
    </row>
    <row r="86" spans="1:13" x14ac:dyDescent="0.3">
      <c r="A86" s="99"/>
      <c r="B86" s="15">
        <v>13845</v>
      </c>
      <c r="C86" s="16">
        <v>124757</v>
      </c>
      <c r="D86" s="19"/>
      <c r="E86" s="15">
        <v>41094</v>
      </c>
      <c r="F86" s="16">
        <v>254052</v>
      </c>
      <c r="G86" s="19"/>
      <c r="H86" s="15">
        <v>70017</v>
      </c>
      <c r="I86" s="16">
        <v>225129</v>
      </c>
      <c r="J86" s="19"/>
      <c r="K86" s="15">
        <v>70911</v>
      </c>
      <c r="L86" s="16">
        <v>152790</v>
      </c>
      <c r="M86" s="15">
        <v>71445</v>
      </c>
    </row>
    <row r="88" spans="1:13" x14ac:dyDescent="0.3">
      <c r="A88" s="20" t="s">
        <v>71</v>
      </c>
      <c r="B88" s="4"/>
      <c r="C88" s="4"/>
      <c r="D88" s="4"/>
      <c r="E88" s="4"/>
      <c r="F88" s="4"/>
      <c r="G88" s="4"/>
      <c r="H88" s="4"/>
      <c r="I88" s="4"/>
      <c r="J88" s="4"/>
      <c r="K88" s="4"/>
      <c r="L88" s="4"/>
      <c r="M88" s="4"/>
    </row>
    <row r="89" spans="1:13" x14ac:dyDescent="0.3">
      <c r="A89" s="5"/>
      <c r="B89" s="6" t="s">
        <v>129</v>
      </c>
      <c r="C89" s="7" t="s">
        <v>130</v>
      </c>
      <c r="D89" s="8"/>
      <c r="E89" s="9" t="s">
        <v>131</v>
      </c>
      <c r="F89" s="7" t="s">
        <v>132</v>
      </c>
      <c r="G89" s="8"/>
      <c r="H89" s="9" t="s">
        <v>133</v>
      </c>
      <c r="I89" s="7" t="s">
        <v>134</v>
      </c>
      <c r="J89" s="8"/>
      <c r="K89" s="9" t="s">
        <v>12</v>
      </c>
      <c r="L89" s="6" t="s">
        <v>13</v>
      </c>
      <c r="M89" s="6" t="s">
        <v>14</v>
      </c>
    </row>
    <row r="90" spans="1:13" x14ac:dyDescent="0.3">
      <c r="A90" s="98" t="s">
        <v>15</v>
      </c>
      <c r="B90" s="11">
        <v>0.54</v>
      </c>
      <c r="C90" s="12">
        <v>0.78</v>
      </c>
      <c r="D90" s="13"/>
      <c r="E90" s="11">
        <v>0.57099999999999995</v>
      </c>
      <c r="F90" s="12">
        <v>0.69199999999999995</v>
      </c>
      <c r="G90" s="13"/>
      <c r="H90" s="11">
        <v>0.60299999999999998</v>
      </c>
      <c r="I90" s="12">
        <v>0.68799999999999994</v>
      </c>
      <c r="J90" s="13"/>
      <c r="K90" s="11">
        <v>0.64300000000000002</v>
      </c>
      <c r="L90" s="12">
        <v>0.69699999999999995</v>
      </c>
      <c r="M90" s="11">
        <v>0.60499999999999998</v>
      </c>
    </row>
    <row r="91" spans="1:13" x14ac:dyDescent="0.3">
      <c r="A91" s="99"/>
      <c r="B91" s="15">
        <v>141122</v>
      </c>
      <c r="C91" s="16">
        <v>346421</v>
      </c>
      <c r="D91" s="17"/>
      <c r="E91" s="15">
        <v>358129</v>
      </c>
      <c r="F91" s="16">
        <v>1016665</v>
      </c>
      <c r="G91" s="17"/>
      <c r="H91" s="15">
        <v>475311</v>
      </c>
      <c r="I91" s="16">
        <v>899483</v>
      </c>
      <c r="J91" s="17"/>
      <c r="K91" s="15">
        <v>371586</v>
      </c>
      <c r="L91" s="16">
        <v>640272</v>
      </c>
      <c r="M91" s="15">
        <v>362936</v>
      </c>
    </row>
    <row r="92" spans="1:13" x14ac:dyDescent="0.3">
      <c r="A92" s="98" t="s">
        <v>16</v>
      </c>
      <c r="B92" s="11">
        <v>0.29799999999999999</v>
      </c>
      <c r="C92" s="12">
        <v>0.59899999999999998</v>
      </c>
      <c r="D92" s="13"/>
      <c r="E92" s="11">
        <v>0.32700000000000001</v>
      </c>
      <c r="F92" s="12">
        <v>0.49399999999999999</v>
      </c>
      <c r="G92" s="13"/>
      <c r="H92" s="11">
        <v>0.36199999999999999</v>
      </c>
      <c r="I92" s="12">
        <v>0.49399999999999999</v>
      </c>
      <c r="J92" s="13"/>
      <c r="K92" s="11">
        <v>0.41699999999999998</v>
      </c>
      <c r="L92" s="12">
        <v>0.49099999999999999</v>
      </c>
      <c r="M92" s="11">
        <v>0.39800000000000002</v>
      </c>
    </row>
    <row r="93" spans="1:13" x14ac:dyDescent="0.3">
      <c r="A93" s="99"/>
      <c r="B93" s="15">
        <v>77950</v>
      </c>
      <c r="C93" s="16">
        <v>265765</v>
      </c>
      <c r="D93" s="17"/>
      <c r="E93" s="15">
        <v>205446</v>
      </c>
      <c r="F93" s="16">
        <v>725634</v>
      </c>
      <c r="G93" s="17"/>
      <c r="H93" s="15">
        <v>284975</v>
      </c>
      <c r="I93" s="16">
        <v>646105</v>
      </c>
      <c r="J93" s="17"/>
      <c r="K93" s="15">
        <v>241063</v>
      </c>
      <c r="L93" s="16">
        <v>451208</v>
      </c>
      <c r="M93" s="15">
        <v>238809</v>
      </c>
    </row>
    <row r="94" spans="1:13" x14ac:dyDescent="0.3">
      <c r="A94" s="98" t="s">
        <v>17</v>
      </c>
      <c r="B94" s="11">
        <v>0.24199999999999999</v>
      </c>
      <c r="C94" s="12">
        <v>0.182</v>
      </c>
      <c r="D94" s="13"/>
      <c r="E94" s="11">
        <v>0.24299999999999999</v>
      </c>
      <c r="F94" s="12">
        <v>0.19800000000000001</v>
      </c>
      <c r="G94" s="13"/>
      <c r="H94" s="11">
        <v>0.24199999999999999</v>
      </c>
      <c r="I94" s="12">
        <v>0.19400000000000001</v>
      </c>
      <c r="J94" s="13"/>
      <c r="K94" s="11">
        <v>0.22600000000000001</v>
      </c>
      <c r="L94" s="12">
        <v>0.20599999999999999</v>
      </c>
      <c r="M94" s="11">
        <v>0.20699999999999999</v>
      </c>
    </row>
    <row r="95" spans="1:13" x14ac:dyDescent="0.3">
      <c r="A95" s="99"/>
      <c r="B95" s="15">
        <v>63138</v>
      </c>
      <c r="C95" s="16">
        <v>80655</v>
      </c>
      <c r="D95" s="17"/>
      <c r="E95" s="15">
        <v>152632</v>
      </c>
      <c r="F95" s="16">
        <v>291024</v>
      </c>
      <c r="G95" s="17"/>
      <c r="H95" s="15">
        <v>190282</v>
      </c>
      <c r="I95" s="16">
        <v>253374</v>
      </c>
      <c r="J95" s="17"/>
      <c r="K95" s="15">
        <v>130504</v>
      </c>
      <c r="L95" s="16">
        <v>189034</v>
      </c>
      <c r="M95" s="15">
        <v>124118</v>
      </c>
    </row>
    <row r="96" spans="1:13" x14ac:dyDescent="0.3">
      <c r="A96" s="98" t="s">
        <v>18</v>
      </c>
      <c r="B96" s="11">
        <v>0.47299999999999998</v>
      </c>
      <c r="C96" s="12">
        <v>0.60599999999999998</v>
      </c>
      <c r="D96" s="13"/>
      <c r="E96" s="11">
        <v>0.49299999999999999</v>
      </c>
      <c r="F96" s="12">
        <v>0.54700000000000004</v>
      </c>
      <c r="G96" s="13"/>
      <c r="H96" s="11">
        <v>0.51400000000000001</v>
      </c>
      <c r="I96" s="12">
        <v>0.54100000000000004</v>
      </c>
      <c r="J96" s="13"/>
      <c r="K96" s="11">
        <v>0.53700000000000003</v>
      </c>
      <c r="L96" s="12">
        <v>0.55100000000000005</v>
      </c>
      <c r="M96" s="11">
        <v>0.495</v>
      </c>
    </row>
    <row r="97" spans="1:13" x14ac:dyDescent="0.3">
      <c r="A97" s="99"/>
      <c r="B97" s="15">
        <v>123783</v>
      </c>
      <c r="C97" s="16">
        <v>268974</v>
      </c>
      <c r="D97" s="17"/>
      <c r="E97" s="15">
        <v>309491</v>
      </c>
      <c r="F97" s="16">
        <v>803540</v>
      </c>
      <c r="G97" s="17"/>
      <c r="H97" s="15">
        <v>405008</v>
      </c>
      <c r="I97" s="16">
        <v>708023</v>
      </c>
      <c r="J97" s="17"/>
      <c r="K97" s="15">
        <v>310392</v>
      </c>
      <c r="L97" s="16">
        <v>505947</v>
      </c>
      <c r="M97" s="15">
        <v>296692</v>
      </c>
    </row>
    <row r="98" spans="1:13" x14ac:dyDescent="0.3">
      <c r="A98" s="98" t="s">
        <v>19</v>
      </c>
      <c r="B98" s="11">
        <v>6.6000000000000003E-2</v>
      </c>
      <c r="C98" s="12">
        <v>0.17399999999999999</v>
      </c>
      <c r="D98" s="13"/>
      <c r="E98" s="11">
        <v>7.6999999999999999E-2</v>
      </c>
      <c r="F98" s="12">
        <v>0.14499999999999999</v>
      </c>
      <c r="G98" s="13"/>
      <c r="H98" s="11">
        <v>8.8999999999999996E-2</v>
      </c>
      <c r="I98" s="12">
        <v>0.14599999999999999</v>
      </c>
      <c r="J98" s="13"/>
      <c r="K98" s="11">
        <v>0.106</v>
      </c>
      <c r="L98" s="12">
        <v>0.14599999999999999</v>
      </c>
      <c r="M98" s="11">
        <v>0.11</v>
      </c>
    </row>
    <row r="99" spans="1:13" x14ac:dyDescent="0.3">
      <c r="A99" s="99"/>
      <c r="B99" s="15">
        <v>17339</v>
      </c>
      <c r="C99" s="16">
        <v>77447</v>
      </c>
      <c r="D99" s="17"/>
      <c r="E99" s="15">
        <v>48638</v>
      </c>
      <c r="F99" s="16">
        <v>213125</v>
      </c>
      <c r="G99" s="17"/>
      <c r="H99" s="15">
        <v>70303</v>
      </c>
      <c r="I99" s="16">
        <v>191460</v>
      </c>
      <c r="J99" s="17"/>
      <c r="K99" s="15">
        <v>61194</v>
      </c>
      <c r="L99" s="16">
        <v>134325</v>
      </c>
      <c r="M99" s="15">
        <v>66244</v>
      </c>
    </row>
    <row r="100" spans="1:13" x14ac:dyDescent="0.3">
      <c r="A100" s="98" t="s">
        <v>20</v>
      </c>
      <c r="B100" s="11">
        <v>0.48099999999999998</v>
      </c>
      <c r="C100" s="12">
        <v>0.54700000000000004</v>
      </c>
      <c r="D100" s="13"/>
      <c r="E100" s="11">
        <v>0.498</v>
      </c>
      <c r="F100" s="12">
        <v>0.52200000000000002</v>
      </c>
      <c r="G100" s="13"/>
      <c r="H100" s="11">
        <v>0.51400000000000001</v>
      </c>
      <c r="I100" s="12">
        <v>0.51500000000000001</v>
      </c>
      <c r="J100" s="13"/>
      <c r="K100" s="11">
        <v>0.51900000000000002</v>
      </c>
      <c r="L100" s="12">
        <v>0.53100000000000003</v>
      </c>
      <c r="M100" s="11">
        <v>0.48499999999999999</v>
      </c>
    </row>
    <row r="101" spans="1:13" x14ac:dyDescent="0.3">
      <c r="A101" s="99"/>
      <c r="B101" s="15">
        <v>125876</v>
      </c>
      <c r="C101" s="16">
        <v>242672</v>
      </c>
      <c r="D101" s="17"/>
      <c r="E101" s="15">
        <v>312674</v>
      </c>
      <c r="F101" s="16">
        <v>766199</v>
      </c>
      <c r="G101" s="17"/>
      <c r="H101" s="15">
        <v>405218</v>
      </c>
      <c r="I101" s="16">
        <v>673655</v>
      </c>
      <c r="J101" s="17"/>
      <c r="K101" s="15">
        <v>299886</v>
      </c>
      <c r="L101" s="16">
        <v>488067</v>
      </c>
      <c r="M101" s="15">
        <v>290920</v>
      </c>
    </row>
    <row r="102" spans="1:13" x14ac:dyDescent="0.3">
      <c r="A102" s="98" t="s">
        <v>21</v>
      </c>
      <c r="B102" s="11">
        <v>5.8000000000000003E-2</v>
      </c>
      <c r="C102" s="12">
        <v>0.23400000000000001</v>
      </c>
      <c r="D102" s="13"/>
      <c r="E102" s="11">
        <v>7.1999999999999995E-2</v>
      </c>
      <c r="F102" s="12">
        <v>0.17100000000000001</v>
      </c>
      <c r="G102" s="13"/>
      <c r="H102" s="11">
        <v>8.8999999999999996E-2</v>
      </c>
      <c r="I102" s="12">
        <v>0.17299999999999999</v>
      </c>
      <c r="J102" s="13"/>
      <c r="K102" s="11">
        <v>0.124</v>
      </c>
      <c r="L102" s="12">
        <v>0.16600000000000001</v>
      </c>
      <c r="M102" s="11">
        <v>0.12</v>
      </c>
    </row>
    <row r="103" spans="1:13" x14ac:dyDescent="0.3">
      <c r="A103" s="99"/>
      <c r="B103" s="15">
        <v>15246</v>
      </c>
      <c r="C103" s="16">
        <v>103749</v>
      </c>
      <c r="D103" s="19"/>
      <c r="E103" s="15">
        <v>45455</v>
      </c>
      <c r="F103" s="16">
        <v>250466</v>
      </c>
      <c r="G103" s="19"/>
      <c r="H103" s="15">
        <v>70093</v>
      </c>
      <c r="I103" s="16">
        <v>225828</v>
      </c>
      <c r="J103" s="19"/>
      <c r="K103" s="15">
        <v>71700</v>
      </c>
      <c r="L103" s="16">
        <v>152205</v>
      </c>
      <c r="M103" s="15">
        <v>72016</v>
      </c>
    </row>
    <row r="105" spans="1:13" x14ac:dyDescent="0.3">
      <c r="A105" s="20" t="s">
        <v>72</v>
      </c>
      <c r="B105" s="4"/>
      <c r="C105" s="4"/>
      <c r="D105" s="4"/>
      <c r="E105" s="4"/>
      <c r="F105" s="4"/>
      <c r="G105" s="4"/>
      <c r="H105" s="4"/>
      <c r="I105" s="4"/>
      <c r="J105" s="4"/>
      <c r="K105" s="4"/>
      <c r="L105" s="4"/>
      <c r="M105" s="4"/>
    </row>
    <row r="106" spans="1:13" x14ac:dyDescent="0.3">
      <c r="A106" s="5"/>
      <c r="B106" s="6" t="s">
        <v>129</v>
      </c>
      <c r="C106" s="7" t="s">
        <v>130</v>
      </c>
      <c r="D106" s="8"/>
      <c r="E106" s="9" t="s">
        <v>131</v>
      </c>
      <c r="F106" s="7" t="s">
        <v>132</v>
      </c>
      <c r="G106" s="8"/>
      <c r="H106" s="9" t="s">
        <v>133</v>
      </c>
      <c r="I106" s="7" t="s">
        <v>134</v>
      </c>
      <c r="J106" s="8"/>
      <c r="K106" s="9" t="s">
        <v>12</v>
      </c>
      <c r="L106" s="6" t="s">
        <v>13</v>
      </c>
      <c r="M106" s="6" t="s">
        <v>14</v>
      </c>
    </row>
    <row r="107" spans="1:13" x14ac:dyDescent="0.3">
      <c r="A107" s="98" t="s">
        <v>15</v>
      </c>
      <c r="B107" s="11">
        <v>0.74399999999999999</v>
      </c>
      <c r="C107" s="12">
        <v>0.90400000000000003</v>
      </c>
      <c r="D107" s="13"/>
      <c r="E107" s="11">
        <v>0.77800000000000002</v>
      </c>
      <c r="F107" s="12">
        <v>0.86799999999999999</v>
      </c>
      <c r="G107" s="13"/>
      <c r="H107" s="11">
        <v>0.8</v>
      </c>
      <c r="I107" s="12">
        <v>0.87</v>
      </c>
      <c r="J107" s="13"/>
      <c r="K107" s="11">
        <v>0.82799999999999996</v>
      </c>
      <c r="L107" s="12">
        <v>0.87</v>
      </c>
      <c r="M107" s="11">
        <v>0.81899999999999995</v>
      </c>
    </row>
    <row r="108" spans="1:13" x14ac:dyDescent="0.3">
      <c r="A108" s="99"/>
      <c r="B108" s="15">
        <v>97479</v>
      </c>
      <c r="C108" s="16">
        <v>348885</v>
      </c>
      <c r="D108" s="17"/>
      <c r="E108" s="15">
        <v>255328</v>
      </c>
      <c r="F108" s="16">
        <v>848070</v>
      </c>
      <c r="G108" s="17"/>
      <c r="H108" s="15">
        <v>369243</v>
      </c>
      <c r="I108" s="16">
        <v>734155</v>
      </c>
      <c r="J108" s="17"/>
      <c r="K108" s="15">
        <v>294911</v>
      </c>
      <c r="L108" s="16">
        <v>531409</v>
      </c>
      <c r="M108" s="15">
        <v>277078</v>
      </c>
    </row>
    <row r="109" spans="1:13" x14ac:dyDescent="0.3">
      <c r="A109" s="98" t="s">
        <v>16</v>
      </c>
      <c r="B109" s="11">
        <v>0.81899999999999995</v>
      </c>
      <c r="C109" s="12">
        <v>0.94399999999999995</v>
      </c>
      <c r="D109" s="13"/>
      <c r="E109" s="11">
        <v>0.85199999999999998</v>
      </c>
      <c r="F109" s="12">
        <v>0.91800000000000004</v>
      </c>
      <c r="G109" s="13"/>
      <c r="H109" s="11">
        <v>0.86799999999999999</v>
      </c>
      <c r="I109" s="12">
        <v>0.92100000000000004</v>
      </c>
      <c r="J109" s="13"/>
      <c r="K109" s="11">
        <v>0.89300000000000002</v>
      </c>
      <c r="L109" s="12">
        <v>0.92200000000000004</v>
      </c>
      <c r="M109" s="11">
        <v>0.88300000000000001</v>
      </c>
    </row>
    <row r="110" spans="1:13" x14ac:dyDescent="0.3">
      <c r="A110" s="99"/>
      <c r="B110" s="15">
        <v>59314</v>
      </c>
      <c r="C110" s="16">
        <v>280824</v>
      </c>
      <c r="D110" s="17"/>
      <c r="E110" s="15">
        <v>157345</v>
      </c>
      <c r="F110" s="16">
        <v>660902</v>
      </c>
      <c r="G110" s="17"/>
      <c r="H110" s="15">
        <v>243691</v>
      </c>
      <c r="I110" s="16">
        <v>574556</v>
      </c>
      <c r="J110" s="17"/>
      <c r="K110" s="15">
        <v>208756</v>
      </c>
      <c r="L110" s="16">
        <v>407019</v>
      </c>
      <c r="M110" s="15">
        <v>202472</v>
      </c>
    </row>
    <row r="111" spans="1:13" x14ac:dyDescent="0.3">
      <c r="A111" s="98" t="s">
        <v>17</v>
      </c>
      <c r="B111" s="11">
        <v>0.65100000000000002</v>
      </c>
      <c r="C111" s="12">
        <v>0.76900000000000002</v>
      </c>
      <c r="D111" s="13"/>
      <c r="E111" s="11">
        <v>0.68200000000000005</v>
      </c>
      <c r="F111" s="12">
        <v>0.72799999999999998</v>
      </c>
      <c r="G111" s="13"/>
      <c r="H111" s="11">
        <v>0.69299999999999995</v>
      </c>
      <c r="I111" s="12">
        <v>0.72599999999999998</v>
      </c>
      <c r="J111" s="13"/>
      <c r="K111" s="11">
        <v>0.70599999999999996</v>
      </c>
      <c r="L111" s="12">
        <v>0.73399999999999999</v>
      </c>
      <c r="M111" s="11">
        <v>0.68300000000000005</v>
      </c>
    </row>
    <row r="112" spans="1:13" x14ac:dyDescent="0.3">
      <c r="A112" s="99"/>
      <c r="B112" s="15">
        <v>38165</v>
      </c>
      <c r="C112" s="16">
        <v>68061</v>
      </c>
      <c r="D112" s="17"/>
      <c r="E112" s="15">
        <v>97983</v>
      </c>
      <c r="F112" s="16">
        <v>187168</v>
      </c>
      <c r="G112" s="17"/>
      <c r="H112" s="15">
        <v>125552</v>
      </c>
      <c r="I112" s="16">
        <v>159599</v>
      </c>
      <c r="J112" s="17"/>
      <c r="K112" s="15">
        <v>86155</v>
      </c>
      <c r="L112" s="16">
        <v>124390</v>
      </c>
      <c r="M112" s="15">
        <v>74606</v>
      </c>
    </row>
    <row r="113" spans="1:13" x14ac:dyDescent="0.3">
      <c r="A113" s="98" t="s">
        <v>18</v>
      </c>
      <c r="B113" s="11">
        <v>0.73699999999999999</v>
      </c>
      <c r="C113" s="12">
        <v>0.89400000000000002</v>
      </c>
      <c r="D113" s="13"/>
      <c r="E113" s="11">
        <v>0.77</v>
      </c>
      <c r="F113" s="12">
        <v>0.85399999999999998</v>
      </c>
      <c r="G113" s="13"/>
      <c r="H113" s="11">
        <v>0.79200000000000004</v>
      </c>
      <c r="I113" s="12">
        <v>0.85599999999999998</v>
      </c>
      <c r="J113" s="13"/>
      <c r="K113" s="11">
        <v>0.81799999999999995</v>
      </c>
      <c r="L113" s="12">
        <v>0.85599999999999998</v>
      </c>
      <c r="M113" s="11">
        <v>0.80400000000000005</v>
      </c>
    </row>
    <row r="114" spans="1:13" x14ac:dyDescent="0.3">
      <c r="A114" s="99"/>
      <c r="B114" s="15">
        <v>84450</v>
      </c>
      <c r="C114" s="16">
        <v>268820</v>
      </c>
      <c r="D114" s="17"/>
      <c r="E114" s="15">
        <v>219543</v>
      </c>
      <c r="F114" s="16">
        <v>662873</v>
      </c>
      <c r="G114" s="17"/>
      <c r="H114" s="15">
        <v>314333</v>
      </c>
      <c r="I114" s="16">
        <v>568083</v>
      </c>
      <c r="J114" s="17"/>
      <c r="K114" s="15">
        <v>244918</v>
      </c>
      <c r="L114" s="16">
        <v>414664</v>
      </c>
      <c r="M114" s="15">
        <v>222834</v>
      </c>
    </row>
    <row r="115" spans="1:13" x14ac:dyDescent="0.3">
      <c r="A115" s="98" t="s">
        <v>19</v>
      </c>
      <c r="B115" s="11">
        <v>0.79100000000000004</v>
      </c>
      <c r="C115" s="12">
        <v>0.93899999999999995</v>
      </c>
      <c r="D115" s="13"/>
      <c r="E115" s="11">
        <v>0.82699999999999996</v>
      </c>
      <c r="F115" s="12">
        <v>0.92</v>
      </c>
      <c r="G115" s="13"/>
      <c r="H115" s="11">
        <v>0.84899999999999998</v>
      </c>
      <c r="I115" s="12">
        <v>0.92300000000000004</v>
      </c>
      <c r="J115" s="13"/>
      <c r="K115" s="11">
        <v>0.88200000000000001</v>
      </c>
      <c r="L115" s="12">
        <v>0.92200000000000004</v>
      </c>
      <c r="M115" s="11">
        <v>0.88600000000000001</v>
      </c>
    </row>
    <row r="116" spans="1:13" x14ac:dyDescent="0.3">
      <c r="A116" s="99"/>
      <c r="B116" s="15">
        <v>13029</v>
      </c>
      <c r="C116" s="16">
        <v>80065</v>
      </c>
      <c r="D116" s="17"/>
      <c r="E116" s="15">
        <v>35785</v>
      </c>
      <c r="F116" s="16">
        <v>185197</v>
      </c>
      <c r="G116" s="17"/>
      <c r="H116" s="15">
        <v>54910</v>
      </c>
      <c r="I116" s="16">
        <v>166072</v>
      </c>
      <c r="J116" s="17"/>
      <c r="K116" s="15">
        <v>49993</v>
      </c>
      <c r="L116" s="16">
        <v>116745</v>
      </c>
      <c r="M116" s="15">
        <v>54244</v>
      </c>
    </row>
    <row r="117" spans="1:13" x14ac:dyDescent="0.3">
      <c r="A117" s="98" t="s">
        <v>20</v>
      </c>
      <c r="B117" s="11">
        <v>0.74</v>
      </c>
      <c r="C117" s="12">
        <v>0.88500000000000001</v>
      </c>
      <c r="D117" s="13"/>
      <c r="E117" s="11">
        <v>0.77200000000000002</v>
      </c>
      <c r="F117" s="12">
        <v>0.85</v>
      </c>
      <c r="G117" s="13"/>
      <c r="H117" s="11">
        <v>0.79100000000000004</v>
      </c>
      <c r="I117" s="12">
        <v>0.85099999999999998</v>
      </c>
      <c r="J117" s="13"/>
      <c r="K117" s="11">
        <v>0.81299999999999994</v>
      </c>
      <c r="L117" s="12">
        <v>0.85099999999999998</v>
      </c>
      <c r="M117" s="11">
        <v>0.80400000000000005</v>
      </c>
    </row>
    <row r="118" spans="1:13" x14ac:dyDescent="0.3">
      <c r="A118" s="99"/>
      <c r="B118" s="15">
        <v>87981</v>
      </c>
      <c r="C118" s="16">
        <v>235147</v>
      </c>
      <c r="D118" s="17"/>
      <c r="E118" s="15">
        <v>224914</v>
      </c>
      <c r="F118" s="16">
        <v>624956</v>
      </c>
      <c r="G118" s="17"/>
      <c r="H118" s="15">
        <v>314461</v>
      </c>
      <c r="I118" s="16">
        <v>535409</v>
      </c>
      <c r="J118" s="17"/>
      <c r="K118" s="15">
        <v>235349</v>
      </c>
      <c r="L118" s="16">
        <v>396025</v>
      </c>
      <c r="M118" s="15">
        <v>218496</v>
      </c>
    </row>
    <row r="119" spans="1:13" x14ac:dyDescent="0.3">
      <c r="A119" s="98" t="s">
        <v>21</v>
      </c>
      <c r="B119" s="11">
        <v>0.77600000000000002</v>
      </c>
      <c r="C119" s="12">
        <v>0.94399999999999995</v>
      </c>
      <c r="D119" s="13"/>
      <c r="E119" s="11">
        <v>0.82299999999999995</v>
      </c>
      <c r="F119" s="12">
        <v>0.92200000000000004</v>
      </c>
      <c r="G119" s="13"/>
      <c r="H119" s="11">
        <v>0.85499999999999998</v>
      </c>
      <c r="I119" s="12">
        <v>0.92500000000000004</v>
      </c>
      <c r="J119" s="13"/>
      <c r="K119" s="11">
        <v>0.89600000000000002</v>
      </c>
      <c r="L119" s="12">
        <v>0.92900000000000005</v>
      </c>
      <c r="M119" s="11">
        <v>0.879</v>
      </c>
    </row>
    <row r="120" spans="1:13" x14ac:dyDescent="0.3">
      <c r="A120" s="99"/>
      <c r="B120" s="15">
        <v>9498</v>
      </c>
      <c r="C120" s="16">
        <v>113738</v>
      </c>
      <c r="D120" s="19"/>
      <c r="E120" s="15">
        <v>30414</v>
      </c>
      <c r="F120" s="16">
        <v>223114</v>
      </c>
      <c r="G120" s="19"/>
      <c r="H120" s="15">
        <v>54782</v>
      </c>
      <c r="I120" s="16">
        <v>198746</v>
      </c>
      <c r="J120" s="19"/>
      <c r="K120" s="15">
        <v>59562</v>
      </c>
      <c r="L120" s="16">
        <v>135384</v>
      </c>
      <c r="M120" s="15">
        <v>58582</v>
      </c>
    </row>
    <row r="122" spans="1:13" x14ac:dyDescent="0.3">
      <c r="A122" s="20" t="s">
        <v>73</v>
      </c>
      <c r="B122" s="4"/>
      <c r="C122" s="4"/>
      <c r="D122" s="4"/>
      <c r="E122" s="4"/>
      <c r="F122" s="4"/>
      <c r="G122" s="4"/>
      <c r="H122" s="4"/>
      <c r="I122" s="4"/>
      <c r="J122" s="4"/>
      <c r="K122" s="4"/>
      <c r="L122" s="4"/>
      <c r="M122" s="4"/>
    </row>
    <row r="123" spans="1:13" x14ac:dyDescent="0.3">
      <c r="A123" s="5"/>
      <c r="B123" s="6" t="s">
        <v>129</v>
      </c>
      <c r="C123" s="7" t="s">
        <v>130</v>
      </c>
      <c r="D123" s="8"/>
      <c r="E123" s="9" t="s">
        <v>131</v>
      </c>
      <c r="F123" s="7" t="s">
        <v>132</v>
      </c>
      <c r="G123" s="8"/>
      <c r="H123" s="9" t="s">
        <v>133</v>
      </c>
      <c r="I123" s="7" t="s">
        <v>134</v>
      </c>
      <c r="J123" s="8"/>
      <c r="K123" s="9" t="s">
        <v>12</v>
      </c>
      <c r="L123" s="6" t="s">
        <v>13</v>
      </c>
      <c r="M123" s="6" t="s">
        <v>14</v>
      </c>
    </row>
    <row r="124" spans="1:13" x14ac:dyDescent="0.3">
      <c r="A124" s="98" t="s">
        <v>15</v>
      </c>
      <c r="B124" s="11">
        <v>0.755</v>
      </c>
      <c r="C124" s="12">
        <v>0.90200000000000002</v>
      </c>
      <c r="D124" s="13"/>
      <c r="E124" s="11">
        <v>0.78200000000000003</v>
      </c>
      <c r="F124" s="12">
        <v>0.86499999999999999</v>
      </c>
      <c r="G124" s="13"/>
      <c r="H124" s="11">
        <v>0.80300000000000005</v>
      </c>
      <c r="I124" s="12">
        <v>0.86499999999999999</v>
      </c>
      <c r="J124" s="13"/>
      <c r="K124" s="11">
        <v>0.83</v>
      </c>
      <c r="L124" s="12">
        <v>0.86799999999999999</v>
      </c>
      <c r="M124" s="11">
        <v>0.81499999999999995</v>
      </c>
    </row>
    <row r="125" spans="1:13" x14ac:dyDescent="0.3">
      <c r="A125" s="99"/>
      <c r="B125" s="15">
        <v>97100</v>
      </c>
      <c r="C125" s="16">
        <v>298444</v>
      </c>
      <c r="D125" s="17"/>
      <c r="E125" s="15">
        <v>256952</v>
      </c>
      <c r="F125" s="16">
        <v>830753</v>
      </c>
      <c r="G125" s="17"/>
      <c r="H125" s="15">
        <v>352373</v>
      </c>
      <c r="I125" s="16">
        <v>735332</v>
      </c>
      <c r="J125" s="17"/>
      <c r="K125" s="15">
        <v>286947</v>
      </c>
      <c r="L125" s="16">
        <v>523866</v>
      </c>
      <c r="M125" s="15">
        <v>276892</v>
      </c>
    </row>
    <row r="126" spans="1:13" x14ac:dyDescent="0.3">
      <c r="A126" s="98" t="s">
        <v>16</v>
      </c>
      <c r="B126" s="11">
        <v>0.81699999999999995</v>
      </c>
      <c r="C126" s="12">
        <v>0.94</v>
      </c>
      <c r="D126" s="13"/>
      <c r="E126" s="11">
        <v>0.84399999999999997</v>
      </c>
      <c r="F126" s="12">
        <v>0.91400000000000003</v>
      </c>
      <c r="G126" s="13"/>
      <c r="H126" s="11">
        <v>0.86299999999999999</v>
      </c>
      <c r="I126" s="12">
        <v>0.91500000000000004</v>
      </c>
      <c r="J126" s="13"/>
      <c r="K126" s="11">
        <v>0.88600000000000001</v>
      </c>
      <c r="L126" s="12">
        <v>0.91800000000000004</v>
      </c>
      <c r="M126" s="11">
        <v>0.876</v>
      </c>
    </row>
    <row r="127" spans="1:13" x14ac:dyDescent="0.3">
      <c r="A127" s="99"/>
      <c r="B127" s="15">
        <v>60415</v>
      </c>
      <c r="C127" s="16">
        <v>243296</v>
      </c>
      <c r="D127" s="17"/>
      <c r="E127" s="15">
        <v>164905</v>
      </c>
      <c r="F127" s="16">
        <v>642354</v>
      </c>
      <c r="G127" s="17"/>
      <c r="H127" s="15">
        <v>235169</v>
      </c>
      <c r="I127" s="16">
        <v>572090</v>
      </c>
      <c r="J127" s="17"/>
      <c r="K127" s="15">
        <v>205292</v>
      </c>
      <c r="L127" s="16">
        <v>400951</v>
      </c>
      <c r="M127" s="15">
        <v>201016</v>
      </c>
    </row>
    <row r="128" spans="1:13" x14ac:dyDescent="0.3">
      <c r="A128" s="98" t="s">
        <v>17</v>
      </c>
      <c r="B128" s="11">
        <v>0.67100000000000004</v>
      </c>
      <c r="C128" s="12">
        <v>0.76700000000000002</v>
      </c>
      <c r="D128" s="13"/>
      <c r="E128" s="11">
        <v>0.69099999999999995</v>
      </c>
      <c r="F128" s="12">
        <v>0.73099999999999998</v>
      </c>
      <c r="G128" s="13"/>
      <c r="H128" s="11">
        <v>0.70599999999999996</v>
      </c>
      <c r="I128" s="12">
        <v>0.72599999999999998</v>
      </c>
      <c r="J128" s="13"/>
      <c r="K128" s="11">
        <v>0.71499999999999997</v>
      </c>
      <c r="L128" s="12">
        <v>0.73699999999999999</v>
      </c>
      <c r="M128" s="11">
        <v>0.68899999999999995</v>
      </c>
    </row>
    <row r="129" spans="1:13" x14ac:dyDescent="0.3">
      <c r="A129" s="99"/>
      <c r="B129" s="15">
        <v>36684</v>
      </c>
      <c r="C129" s="16">
        <v>55148</v>
      </c>
      <c r="D129" s="17"/>
      <c r="E129" s="15">
        <v>92045</v>
      </c>
      <c r="F129" s="16">
        <v>188399</v>
      </c>
      <c r="G129" s="17"/>
      <c r="H129" s="15">
        <v>117202</v>
      </c>
      <c r="I129" s="16">
        <v>163242</v>
      </c>
      <c r="J129" s="17"/>
      <c r="K129" s="15">
        <v>81654</v>
      </c>
      <c r="L129" s="16">
        <v>122914</v>
      </c>
      <c r="M129" s="15">
        <v>75876</v>
      </c>
    </row>
    <row r="130" spans="1:13" x14ac:dyDescent="0.3">
      <c r="A130" s="98" t="s">
        <v>18</v>
      </c>
      <c r="B130" s="11">
        <v>0.749</v>
      </c>
      <c r="C130" s="12">
        <v>0.89100000000000001</v>
      </c>
      <c r="D130" s="13"/>
      <c r="E130" s="11">
        <v>0.77400000000000002</v>
      </c>
      <c r="F130" s="12">
        <v>0.85099999999999998</v>
      </c>
      <c r="G130" s="13"/>
      <c r="H130" s="11">
        <v>0.79600000000000004</v>
      </c>
      <c r="I130" s="12">
        <v>0.84899999999999998</v>
      </c>
      <c r="J130" s="13"/>
      <c r="K130" s="11">
        <v>0.82</v>
      </c>
      <c r="L130" s="12">
        <v>0.85399999999999998</v>
      </c>
      <c r="M130" s="11">
        <v>0.8</v>
      </c>
    </row>
    <row r="131" spans="1:13" x14ac:dyDescent="0.3">
      <c r="A131" s="99"/>
      <c r="B131" s="15">
        <v>84589</v>
      </c>
      <c r="C131" s="16">
        <v>227912</v>
      </c>
      <c r="D131" s="17"/>
      <c r="E131" s="15">
        <v>219664</v>
      </c>
      <c r="F131" s="16">
        <v>642702</v>
      </c>
      <c r="G131" s="17"/>
      <c r="H131" s="15">
        <v>296642</v>
      </c>
      <c r="I131" s="16">
        <v>565724</v>
      </c>
      <c r="J131" s="17"/>
      <c r="K131" s="15">
        <v>235982</v>
      </c>
      <c r="L131" s="16">
        <v>405167</v>
      </c>
      <c r="M131" s="15">
        <v>221217</v>
      </c>
    </row>
    <row r="132" spans="1:13" x14ac:dyDescent="0.3">
      <c r="A132" s="98" t="s">
        <v>19</v>
      </c>
      <c r="B132" s="11">
        <v>0.79400000000000004</v>
      </c>
      <c r="C132" s="12">
        <v>0.94</v>
      </c>
      <c r="D132" s="13"/>
      <c r="E132" s="11">
        <v>0.82799999999999996</v>
      </c>
      <c r="F132" s="12">
        <v>0.91700000000000004</v>
      </c>
      <c r="G132" s="13"/>
      <c r="H132" s="11">
        <v>0.84699999999999998</v>
      </c>
      <c r="I132" s="12">
        <v>0.92</v>
      </c>
      <c r="J132" s="13"/>
      <c r="K132" s="11">
        <v>0.879</v>
      </c>
      <c r="L132" s="12">
        <v>0.91900000000000004</v>
      </c>
      <c r="M132" s="11">
        <v>0.88300000000000001</v>
      </c>
    </row>
    <row r="133" spans="1:13" x14ac:dyDescent="0.3">
      <c r="A133" s="99"/>
      <c r="B133" s="15">
        <v>12511</v>
      </c>
      <c r="C133" s="16">
        <v>70532</v>
      </c>
      <c r="D133" s="17"/>
      <c r="E133" s="15">
        <v>37288</v>
      </c>
      <c r="F133" s="16">
        <v>188051</v>
      </c>
      <c r="G133" s="17"/>
      <c r="H133" s="15">
        <v>55731</v>
      </c>
      <c r="I133" s="16">
        <v>169608</v>
      </c>
      <c r="J133" s="17"/>
      <c r="K133" s="15">
        <v>50965</v>
      </c>
      <c r="L133" s="16">
        <v>118699</v>
      </c>
      <c r="M133" s="15">
        <v>55675</v>
      </c>
    </row>
    <row r="134" spans="1:13" x14ac:dyDescent="0.3">
      <c r="A134" s="98" t="s">
        <v>20</v>
      </c>
      <c r="B134" s="11">
        <v>0.752</v>
      </c>
      <c r="C134" s="12">
        <v>0.88600000000000001</v>
      </c>
      <c r="D134" s="13"/>
      <c r="E134" s="11">
        <v>0.77600000000000002</v>
      </c>
      <c r="F134" s="12">
        <v>0.84699999999999998</v>
      </c>
      <c r="G134" s="13"/>
      <c r="H134" s="11">
        <v>0.79500000000000004</v>
      </c>
      <c r="I134" s="12">
        <v>0.84599999999999997</v>
      </c>
      <c r="J134" s="13"/>
      <c r="K134" s="11">
        <v>0.81499999999999995</v>
      </c>
      <c r="L134" s="12">
        <v>0.85</v>
      </c>
      <c r="M134" s="11">
        <v>0.80100000000000005</v>
      </c>
    </row>
    <row r="135" spans="1:13" x14ac:dyDescent="0.3">
      <c r="A135" s="99"/>
      <c r="B135" s="15">
        <v>86813</v>
      </c>
      <c r="C135" s="16">
        <v>204774</v>
      </c>
      <c r="D135" s="17"/>
      <c r="E135" s="15">
        <v>223875</v>
      </c>
      <c r="F135" s="16">
        <v>612402</v>
      </c>
      <c r="G135" s="17"/>
      <c r="H135" s="15">
        <v>298127</v>
      </c>
      <c r="I135" s="16">
        <v>538150</v>
      </c>
      <c r="J135" s="17"/>
      <c r="K135" s="15">
        <v>227341</v>
      </c>
      <c r="L135" s="16">
        <v>390488</v>
      </c>
      <c r="M135" s="15">
        <v>218448</v>
      </c>
    </row>
    <row r="136" spans="1:13" x14ac:dyDescent="0.3">
      <c r="A136" s="98" t="s">
        <v>21</v>
      </c>
      <c r="B136" s="11">
        <v>0.77800000000000002</v>
      </c>
      <c r="C136" s="12">
        <v>0.94</v>
      </c>
      <c r="D136" s="13"/>
      <c r="E136" s="11">
        <v>0.81799999999999995</v>
      </c>
      <c r="F136" s="12">
        <v>0.91900000000000004</v>
      </c>
      <c r="G136" s="13"/>
      <c r="H136" s="11">
        <v>0.85099999999999998</v>
      </c>
      <c r="I136" s="12">
        <v>0.92</v>
      </c>
      <c r="J136" s="13"/>
      <c r="K136" s="11">
        <v>0.89200000000000002</v>
      </c>
      <c r="L136" s="12">
        <v>0.92300000000000004</v>
      </c>
      <c r="M136" s="11">
        <v>0.875</v>
      </c>
    </row>
    <row r="137" spans="1:13" x14ac:dyDescent="0.3">
      <c r="A137" s="99"/>
      <c r="B137" s="15">
        <v>10287</v>
      </c>
      <c r="C137" s="16">
        <v>93670</v>
      </c>
      <c r="D137" s="19"/>
      <c r="E137" s="15">
        <v>33077</v>
      </c>
      <c r="F137" s="16">
        <v>218351</v>
      </c>
      <c r="G137" s="19"/>
      <c r="H137" s="15">
        <v>54246</v>
      </c>
      <c r="I137" s="16">
        <v>197182</v>
      </c>
      <c r="J137" s="19"/>
      <c r="K137" s="15">
        <v>59606</v>
      </c>
      <c r="L137" s="16">
        <v>133378</v>
      </c>
      <c r="M137" s="15">
        <v>58444</v>
      </c>
    </row>
    <row r="139" spans="1:13" x14ac:dyDescent="0.3">
      <c r="A139" s="20" t="s">
        <v>74</v>
      </c>
      <c r="B139" s="4"/>
      <c r="C139" s="4"/>
      <c r="D139" s="4"/>
      <c r="E139" s="4"/>
      <c r="F139" s="4"/>
      <c r="G139" s="4"/>
      <c r="H139" s="4"/>
      <c r="I139" s="4"/>
      <c r="J139" s="4"/>
      <c r="K139" s="4"/>
      <c r="L139" s="4"/>
      <c r="M139" s="4"/>
    </row>
    <row r="140" spans="1:13" x14ac:dyDescent="0.3">
      <c r="A140" s="5"/>
      <c r="B140" s="6" t="s">
        <v>129</v>
      </c>
      <c r="C140" s="7" t="s">
        <v>130</v>
      </c>
      <c r="D140" s="8"/>
      <c r="E140" s="9" t="s">
        <v>131</v>
      </c>
      <c r="F140" s="7" t="s">
        <v>132</v>
      </c>
      <c r="G140" s="8"/>
      <c r="H140" s="9" t="s">
        <v>133</v>
      </c>
      <c r="I140" s="7" t="s">
        <v>134</v>
      </c>
      <c r="J140" s="8"/>
      <c r="K140" s="9" t="s">
        <v>12</v>
      </c>
      <c r="L140" s="6" t="s">
        <v>13</v>
      </c>
      <c r="M140" s="6" t="s">
        <v>14</v>
      </c>
    </row>
    <row r="141" spans="1:13" x14ac:dyDescent="0.3">
      <c r="A141" s="98" t="s">
        <v>15</v>
      </c>
      <c r="B141" s="11">
        <v>0.249</v>
      </c>
      <c r="C141" s="12">
        <v>0.58699999999999997</v>
      </c>
      <c r="D141" s="13"/>
      <c r="E141" s="11">
        <v>0.28499999999999998</v>
      </c>
      <c r="F141" s="12">
        <v>0.48599999999999999</v>
      </c>
      <c r="G141" s="13"/>
      <c r="H141" s="11">
        <v>0.314</v>
      </c>
      <c r="I141" s="12">
        <v>0.47699999999999998</v>
      </c>
      <c r="J141" s="13"/>
      <c r="K141" s="11">
        <v>0.374</v>
      </c>
      <c r="L141" s="12">
        <v>0.46400000000000002</v>
      </c>
      <c r="M141" s="11">
        <v>0.39</v>
      </c>
    </row>
    <row r="142" spans="1:13" x14ac:dyDescent="0.3">
      <c r="A142" s="99"/>
      <c r="B142" s="15">
        <v>65324</v>
      </c>
      <c r="C142" s="16">
        <v>329637</v>
      </c>
      <c r="D142" s="17"/>
      <c r="E142" s="15">
        <v>200607</v>
      </c>
      <c r="F142" s="16">
        <v>677622</v>
      </c>
      <c r="G142" s="17"/>
      <c r="H142" s="15">
        <v>235870</v>
      </c>
      <c r="I142" s="16">
        <v>642359</v>
      </c>
      <c r="J142" s="17"/>
      <c r="K142" s="15">
        <v>212396</v>
      </c>
      <c r="L142" s="16">
        <v>433854</v>
      </c>
      <c r="M142" s="15">
        <v>231979</v>
      </c>
    </row>
    <row r="143" spans="1:13" x14ac:dyDescent="0.3">
      <c r="A143" s="98" t="s">
        <v>16</v>
      </c>
      <c r="B143" s="11">
        <v>0.16400000000000001</v>
      </c>
      <c r="C143" s="12">
        <v>0.504</v>
      </c>
      <c r="D143" s="13"/>
      <c r="E143" s="11">
        <v>0.19700000000000001</v>
      </c>
      <c r="F143" s="12">
        <v>0.39900000000000002</v>
      </c>
      <c r="G143" s="13"/>
      <c r="H143" s="11">
        <v>0.22800000000000001</v>
      </c>
      <c r="I143" s="12">
        <v>0.38900000000000001</v>
      </c>
      <c r="J143" s="13"/>
      <c r="K143" s="11">
        <v>0.29099999999999998</v>
      </c>
      <c r="L143" s="12">
        <v>0.38100000000000001</v>
      </c>
      <c r="M143" s="11">
        <v>0.29099999999999998</v>
      </c>
    </row>
    <row r="144" spans="1:13" x14ac:dyDescent="0.3">
      <c r="A144" s="99"/>
      <c r="B144" s="15">
        <v>43086</v>
      </c>
      <c r="C144" s="16">
        <v>283398</v>
      </c>
      <c r="D144" s="17"/>
      <c r="E144" s="15">
        <v>138789</v>
      </c>
      <c r="F144" s="16">
        <v>555977</v>
      </c>
      <c r="G144" s="17"/>
      <c r="H144" s="15">
        <v>171382</v>
      </c>
      <c r="I144" s="16">
        <v>523384</v>
      </c>
      <c r="J144" s="17"/>
      <c r="K144" s="15">
        <v>165306</v>
      </c>
      <c r="L144" s="16">
        <v>356543</v>
      </c>
      <c r="M144" s="15">
        <v>172917</v>
      </c>
    </row>
    <row r="145" spans="1:13" x14ac:dyDescent="0.3">
      <c r="A145" s="98" t="s">
        <v>17</v>
      </c>
      <c r="B145" s="11">
        <v>8.5000000000000006E-2</v>
      </c>
      <c r="C145" s="12">
        <v>8.2000000000000003E-2</v>
      </c>
      <c r="D145" s="13"/>
      <c r="E145" s="11">
        <v>8.7999999999999995E-2</v>
      </c>
      <c r="F145" s="12">
        <v>8.6999999999999994E-2</v>
      </c>
      <c r="G145" s="13"/>
      <c r="H145" s="11">
        <v>8.5999999999999993E-2</v>
      </c>
      <c r="I145" s="12">
        <v>8.7999999999999995E-2</v>
      </c>
      <c r="J145" s="13"/>
      <c r="K145" s="11">
        <v>8.3000000000000004E-2</v>
      </c>
      <c r="L145" s="12">
        <v>8.3000000000000004E-2</v>
      </c>
      <c r="M145" s="11">
        <v>9.9000000000000005E-2</v>
      </c>
    </row>
    <row r="146" spans="1:13" x14ac:dyDescent="0.3">
      <c r="A146" s="99"/>
      <c r="B146" s="15">
        <v>22138</v>
      </c>
      <c r="C146" s="16">
        <v>46226</v>
      </c>
      <c r="D146" s="17"/>
      <c r="E146" s="15">
        <v>61658</v>
      </c>
      <c r="F146" s="16">
        <v>121605</v>
      </c>
      <c r="G146" s="17"/>
      <c r="H146" s="15">
        <v>64327</v>
      </c>
      <c r="I146" s="16">
        <v>118936</v>
      </c>
      <c r="J146" s="17"/>
      <c r="K146" s="15">
        <v>47013</v>
      </c>
      <c r="L146" s="16">
        <v>77213</v>
      </c>
      <c r="M146" s="15">
        <v>59037</v>
      </c>
    </row>
    <row r="147" spans="1:13" x14ac:dyDescent="0.3">
      <c r="A147" s="98" t="s">
        <v>18</v>
      </c>
      <c r="B147" s="11">
        <v>0.20699999999999999</v>
      </c>
      <c r="C147" s="12">
        <v>0.435</v>
      </c>
      <c r="D147" s="13"/>
      <c r="E147" s="11">
        <v>0.23400000000000001</v>
      </c>
      <c r="F147" s="12">
        <v>0.36699999999999999</v>
      </c>
      <c r="G147" s="13"/>
      <c r="H147" s="11">
        <v>0.25700000000000001</v>
      </c>
      <c r="I147" s="12">
        <v>0.35899999999999999</v>
      </c>
      <c r="J147" s="13"/>
      <c r="K147" s="11">
        <v>0.29799999999999999</v>
      </c>
      <c r="L147" s="12">
        <v>0.34599999999999997</v>
      </c>
      <c r="M147" s="11">
        <v>0.308</v>
      </c>
    </row>
    <row r="148" spans="1:13" x14ac:dyDescent="0.3">
      <c r="A148" s="99"/>
      <c r="B148" s="15">
        <v>54256</v>
      </c>
      <c r="C148" s="16">
        <v>244649</v>
      </c>
      <c r="D148" s="17"/>
      <c r="E148" s="15">
        <v>165101</v>
      </c>
      <c r="F148" s="16">
        <v>510817</v>
      </c>
      <c r="G148" s="17"/>
      <c r="H148" s="15">
        <v>192949</v>
      </c>
      <c r="I148" s="16">
        <v>482969</v>
      </c>
      <c r="J148" s="17"/>
      <c r="K148" s="15">
        <v>168952</v>
      </c>
      <c r="L148" s="16">
        <v>324088</v>
      </c>
      <c r="M148" s="15">
        <v>182878</v>
      </c>
    </row>
    <row r="149" spans="1:13" x14ac:dyDescent="0.3">
      <c r="A149" s="98" t="s">
        <v>19</v>
      </c>
      <c r="B149" s="11">
        <v>4.2000000000000003E-2</v>
      </c>
      <c r="C149" s="12">
        <v>0.151</v>
      </c>
      <c r="D149" s="13"/>
      <c r="E149" s="11">
        <v>0.05</v>
      </c>
      <c r="F149" s="12">
        <v>0.12</v>
      </c>
      <c r="G149" s="13"/>
      <c r="H149" s="11">
        <v>5.7000000000000002E-2</v>
      </c>
      <c r="I149" s="12">
        <v>0.11799999999999999</v>
      </c>
      <c r="J149" s="13"/>
      <c r="K149" s="11">
        <v>7.6999999999999999E-2</v>
      </c>
      <c r="L149" s="12">
        <v>0.11700000000000001</v>
      </c>
      <c r="M149" s="11">
        <v>8.3000000000000004E-2</v>
      </c>
    </row>
    <row r="150" spans="1:13" x14ac:dyDescent="0.3">
      <c r="A150" s="99"/>
      <c r="B150" s="15">
        <v>11068</v>
      </c>
      <c r="C150" s="16">
        <v>84988</v>
      </c>
      <c r="D150" s="17"/>
      <c r="E150" s="15">
        <v>35506</v>
      </c>
      <c r="F150" s="16">
        <v>166805</v>
      </c>
      <c r="G150" s="17"/>
      <c r="H150" s="15">
        <v>42921</v>
      </c>
      <c r="I150" s="16">
        <v>159390</v>
      </c>
      <c r="J150" s="17"/>
      <c r="K150" s="15">
        <v>43444</v>
      </c>
      <c r="L150" s="16">
        <v>109766</v>
      </c>
      <c r="M150" s="15">
        <v>49101</v>
      </c>
    </row>
    <row r="151" spans="1:13" x14ac:dyDescent="0.3">
      <c r="A151" s="98" t="s">
        <v>20</v>
      </c>
      <c r="B151" s="11">
        <v>0.223</v>
      </c>
      <c r="C151" s="12">
        <v>0.40699999999999997</v>
      </c>
      <c r="D151" s="13"/>
      <c r="E151" s="11">
        <v>0.247</v>
      </c>
      <c r="F151" s="12">
        <v>0.36</v>
      </c>
      <c r="G151" s="13"/>
      <c r="H151" s="11">
        <v>0.26400000000000001</v>
      </c>
      <c r="I151" s="12">
        <v>0.35399999999999998</v>
      </c>
      <c r="J151" s="13"/>
      <c r="K151" s="11">
        <v>0.29499999999999998</v>
      </c>
      <c r="L151" s="12">
        <v>0.34499999999999997</v>
      </c>
      <c r="M151" s="11">
        <v>0.311</v>
      </c>
    </row>
    <row r="152" spans="1:13" x14ac:dyDescent="0.3">
      <c r="A152" s="99"/>
      <c r="B152" s="15">
        <v>58434</v>
      </c>
      <c r="C152" s="16">
        <v>228501</v>
      </c>
      <c r="D152" s="17"/>
      <c r="E152" s="15">
        <v>173940</v>
      </c>
      <c r="F152" s="16">
        <v>501273</v>
      </c>
      <c r="G152" s="17"/>
      <c r="H152" s="15">
        <v>198370</v>
      </c>
      <c r="I152" s="16">
        <v>476843</v>
      </c>
      <c r="J152" s="17"/>
      <c r="K152" s="15">
        <v>167253</v>
      </c>
      <c r="L152" s="16">
        <v>322995</v>
      </c>
      <c r="M152" s="15">
        <v>184965</v>
      </c>
    </row>
    <row r="153" spans="1:13" x14ac:dyDescent="0.3">
      <c r="A153" s="98" t="s">
        <v>21</v>
      </c>
      <c r="B153" s="11">
        <v>2.5999999999999999E-2</v>
      </c>
      <c r="C153" s="12">
        <v>0.18</v>
      </c>
      <c r="D153" s="13"/>
      <c r="E153" s="11">
        <v>3.7999999999999999E-2</v>
      </c>
      <c r="F153" s="12">
        <v>0.127</v>
      </c>
      <c r="G153" s="13"/>
      <c r="H153" s="11">
        <v>0.05</v>
      </c>
      <c r="I153" s="12">
        <v>0.123</v>
      </c>
      <c r="J153" s="13"/>
      <c r="K153" s="11">
        <v>0.08</v>
      </c>
      <c r="L153" s="12">
        <v>0.11899999999999999</v>
      </c>
      <c r="M153" s="11">
        <v>7.9000000000000001E-2</v>
      </c>
    </row>
    <row r="154" spans="1:13" x14ac:dyDescent="0.3">
      <c r="A154" s="99"/>
      <c r="B154" s="15">
        <v>6890</v>
      </c>
      <c r="C154" s="16">
        <v>101136</v>
      </c>
      <c r="D154" s="19"/>
      <c r="E154" s="15">
        <v>26667</v>
      </c>
      <c r="F154" s="16">
        <v>176349</v>
      </c>
      <c r="G154" s="19"/>
      <c r="H154" s="15">
        <v>37500</v>
      </c>
      <c r="I154" s="16">
        <v>165516</v>
      </c>
      <c r="J154" s="19"/>
      <c r="K154" s="15">
        <v>45143</v>
      </c>
      <c r="L154" s="16">
        <v>110859</v>
      </c>
      <c r="M154" s="15">
        <v>47014</v>
      </c>
    </row>
    <row r="156" spans="1:13" x14ac:dyDescent="0.3">
      <c r="A156" s="20" t="s">
        <v>75</v>
      </c>
      <c r="B156" s="4"/>
      <c r="C156" s="4"/>
      <c r="D156" s="4"/>
      <c r="E156" s="4"/>
      <c r="F156" s="4"/>
      <c r="G156" s="4"/>
      <c r="H156" s="4"/>
      <c r="I156" s="4"/>
      <c r="J156" s="4"/>
      <c r="K156" s="4"/>
      <c r="L156" s="4"/>
      <c r="M156" s="4"/>
    </row>
    <row r="157" spans="1:13" x14ac:dyDescent="0.3">
      <c r="A157" s="5"/>
      <c r="B157" s="6" t="s">
        <v>129</v>
      </c>
      <c r="C157" s="7" t="s">
        <v>130</v>
      </c>
      <c r="D157" s="8"/>
      <c r="E157" s="9" t="s">
        <v>131</v>
      </c>
      <c r="F157" s="7" t="s">
        <v>132</v>
      </c>
      <c r="G157" s="8"/>
      <c r="H157" s="9" t="s">
        <v>133</v>
      </c>
      <c r="I157" s="7" t="s">
        <v>134</v>
      </c>
      <c r="J157" s="8"/>
      <c r="K157" s="9" t="s">
        <v>12</v>
      </c>
      <c r="L157" s="6" t="s">
        <v>13</v>
      </c>
      <c r="M157" s="6" t="s">
        <v>14</v>
      </c>
    </row>
    <row r="158" spans="1:13" x14ac:dyDescent="0.3">
      <c r="A158" s="98" t="s">
        <v>15</v>
      </c>
      <c r="B158" s="11">
        <v>0.249</v>
      </c>
      <c r="C158" s="12">
        <v>0.58799999999999997</v>
      </c>
      <c r="D158" s="13"/>
      <c r="E158" s="11">
        <v>0.28499999999999998</v>
      </c>
      <c r="F158" s="12">
        <v>0.48699999999999999</v>
      </c>
      <c r="G158" s="13"/>
      <c r="H158" s="11">
        <v>0.312</v>
      </c>
      <c r="I158" s="12">
        <v>0.47599999999999998</v>
      </c>
      <c r="J158" s="13"/>
      <c r="K158" s="11">
        <v>0.372</v>
      </c>
      <c r="L158" s="12">
        <v>0.47099999999999997</v>
      </c>
      <c r="M158" s="11">
        <v>0.39300000000000002</v>
      </c>
    </row>
    <row r="159" spans="1:13" x14ac:dyDescent="0.3">
      <c r="A159" s="99"/>
      <c r="B159" s="15">
        <v>59815</v>
      </c>
      <c r="C159" s="16">
        <v>319102</v>
      </c>
      <c r="D159" s="17"/>
      <c r="E159" s="15">
        <v>183107</v>
      </c>
      <c r="F159" s="16">
        <v>650165</v>
      </c>
      <c r="G159" s="17"/>
      <c r="H159" s="15">
        <v>206312</v>
      </c>
      <c r="I159" s="16">
        <v>626960</v>
      </c>
      <c r="J159" s="17"/>
      <c r="K159" s="15">
        <v>201101</v>
      </c>
      <c r="L159" s="16">
        <v>406636</v>
      </c>
      <c r="M159" s="15">
        <v>225535</v>
      </c>
    </row>
    <row r="160" spans="1:13" x14ac:dyDescent="0.3">
      <c r="A160" s="98" t="s">
        <v>16</v>
      </c>
      <c r="B160" s="11">
        <v>0.16600000000000001</v>
      </c>
      <c r="C160" s="12">
        <v>0.504</v>
      </c>
      <c r="D160" s="13"/>
      <c r="E160" s="11">
        <v>0.19700000000000001</v>
      </c>
      <c r="F160" s="12">
        <v>0.39900000000000002</v>
      </c>
      <c r="G160" s="13"/>
      <c r="H160" s="11">
        <v>0.22500000000000001</v>
      </c>
      <c r="I160" s="12">
        <v>0.38800000000000001</v>
      </c>
      <c r="J160" s="13"/>
      <c r="K160" s="11">
        <v>0.28899999999999998</v>
      </c>
      <c r="L160" s="12">
        <v>0.38800000000000001</v>
      </c>
      <c r="M160" s="11">
        <v>0.29199999999999998</v>
      </c>
    </row>
    <row r="161" spans="1:13" x14ac:dyDescent="0.3">
      <c r="A161" s="99"/>
      <c r="B161" s="15">
        <v>39962</v>
      </c>
      <c r="C161" s="16">
        <v>273657</v>
      </c>
      <c r="D161" s="17"/>
      <c r="E161" s="15">
        <v>126439</v>
      </c>
      <c r="F161" s="16">
        <v>532370</v>
      </c>
      <c r="G161" s="17"/>
      <c r="H161" s="15">
        <v>148799</v>
      </c>
      <c r="I161" s="16">
        <v>510010</v>
      </c>
      <c r="J161" s="17"/>
      <c r="K161" s="15">
        <v>156573</v>
      </c>
      <c r="L161" s="16">
        <v>334799</v>
      </c>
      <c r="M161" s="15">
        <v>167437</v>
      </c>
    </row>
    <row r="162" spans="1:13" x14ac:dyDescent="0.3">
      <c r="A162" s="98" t="s">
        <v>17</v>
      </c>
      <c r="B162" s="11">
        <v>8.2000000000000003E-2</v>
      </c>
      <c r="C162" s="12">
        <v>8.4000000000000005E-2</v>
      </c>
      <c r="D162" s="13"/>
      <c r="E162" s="11">
        <v>8.7999999999999995E-2</v>
      </c>
      <c r="F162" s="12">
        <v>8.7999999999999995E-2</v>
      </c>
      <c r="G162" s="13"/>
      <c r="H162" s="11">
        <v>8.6999999999999994E-2</v>
      </c>
      <c r="I162" s="12">
        <v>8.8999999999999996E-2</v>
      </c>
      <c r="J162" s="13"/>
      <c r="K162" s="11">
        <v>8.2000000000000003E-2</v>
      </c>
      <c r="L162" s="12">
        <v>8.3000000000000004E-2</v>
      </c>
      <c r="M162" s="11">
        <v>0.10100000000000001</v>
      </c>
    </row>
    <row r="163" spans="1:13" x14ac:dyDescent="0.3">
      <c r="A163" s="99"/>
      <c r="B163" s="15">
        <v>19752</v>
      </c>
      <c r="C163" s="16">
        <v>45434</v>
      </c>
      <c r="D163" s="17"/>
      <c r="E163" s="15">
        <v>56500</v>
      </c>
      <c r="F163" s="16">
        <v>117757</v>
      </c>
      <c r="G163" s="17"/>
      <c r="H163" s="15">
        <v>57338</v>
      </c>
      <c r="I163" s="16">
        <v>116919</v>
      </c>
      <c r="J163" s="17"/>
      <c r="K163" s="15">
        <v>44451</v>
      </c>
      <c r="L163" s="16">
        <v>71729</v>
      </c>
      <c r="M163" s="15">
        <v>58077</v>
      </c>
    </row>
    <row r="164" spans="1:13" x14ac:dyDescent="0.3">
      <c r="A164" s="98" t="s">
        <v>18</v>
      </c>
      <c r="B164" s="11">
        <v>0.20699999999999999</v>
      </c>
      <c r="C164" s="12">
        <v>0.436</v>
      </c>
      <c r="D164" s="13"/>
      <c r="E164" s="11">
        <v>0.23499999999999999</v>
      </c>
      <c r="F164" s="12">
        <v>0.36599999999999999</v>
      </c>
      <c r="G164" s="13"/>
      <c r="H164" s="11">
        <v>0.255</v>
      </c>
      <c r="I164" s="12">
        <v>0.35799999999999998</v>
      </c>
      <c r="J164" s="13"/>
      <c r="K164" s="11">
        <v>0.29599999999999999</v>
      </c>
      <c r="L164" s="12">
        <v>0.35</v>
      </c>
      <c r="M164" s="11">
        <v>0.31</v>
      </c>
    </row>
    <row r="165" spans="1:13" x14ac:dyDescent="0.3">
      <c r="A165" s="99"/>
      <c r="B165" s="15">
        <v>49757</v>
      </c>
      <c r="C165" s="16">
        <v>236656</v>
      </c>
      <c r="D165" s="17"/>
      <c r="E165" s="15">
        <v>150672</v>
      </c>
      <c r="F165" s="16">
        <v>489043</v>
      </c>
      <c r="G165" s="17"/>
      <c r="H165" s="15">
        <v>168661</v>
      </c>
      <c r="I165" s="16">
        <v>471054</v>
      </c>
      <c r="J165" s="17"/>
      <c r="K165" s="15">
        <v>160234</v>
      </c>
      <c r="L165" s="16">
        <v>302040</v>
      </c>
      <c r="M165" s="15">
        <v>177441</v>
      </c>
    </row>
    <row r="166" spans="1:13" x14ac:dyDescent="0.3">
      <c r="A166" s="98" t="s">
        <v>19</v>
      </c>
      <c r="B166" s="11">
        <v>4.2000000000000003E-2</v>
      </c>
      <c r="C166" s="12">
        <v>0.152</v>
      </c>
      <c r="D166" s="13"/>
      <c r="E166" s="11">
        <v>5.0999999999999997E-2</v>
      </c>
      <c r="F166" s="12">
        <v>0.121</v>
      </c>
      <c r="G166" s="13"/>
      <c r="H166" s="11">
        <v>5.7000000000000002E-2</v>
      </c>
      <c r="I166" s="12">
        <v>0.11799999999999999</v>
      </c>
      <c r="J166" s="13"/>
      <c r="K166" s="11">
        <v>7.5999999999999998E-2</v>
      </c>
      <c r="L166" s="12">
        <v>0.121</v>
      </c>
      <c r="M166" s="11">
        <v>8.4000000000000005E-2</v>
      </c>
    </row>
    <row r="167" spans="1:13" x14ac:dyDescent="0.3">
      <c r="A167" s="99"/>
      <c r="B167" s="15">
        <v>10058</v>
      </c>
      <c r="C167" s="16">
        <v>82446</v>
      </c>
      <c r="D167" s="17"/>
      <c r="E167" s="15">
        <v>32435</v>
      </c>
      <c r="F167" s="16">
        <v>161122</v>
      </c>
      <c r="G167" s="17"/>
      <c r="H167" s="15">
        <v>37651</v>
      </c>
      <c r="I167" s="16">
        <v>155906</v>
      </c>
      <c r="J167" s="17"/>
      <c r="K167" s="15">
        <v>40867</v>
      </c>
      <c r="L167" s="16">
        <v>104596</v>
      </c>
      <c r="M167" s="15">
        <v>48094</v>
      </c>
    </row>
    <row r="168" spans="1:13" x14ac:dyDescent="0.3">
      <c r="A168" s="98" t="s">
        <v>20</v>
      </c>
      <c r="B168" s="11">
        <v>0.222</v>
      </c>
      <c r="C168" s="12">
        <v>0.41299999999999998</v>
      </c>
      <c r="D168" s="13"/>
      <c r="E168" s="11">
        <v>0.247</v>
      </c>
      <c r="F168" s="12">
        <v>0.36299999999999999</v>
      </c>
      <c r="G168" s="13"/>
      <c r="H168" s="11">
        <v>0.26400000000000001</v>
      </c>
      <c r="I168" s="12">
        <v>0.35599999999999998</v>
      </c>
      <c r="J168" s="13"/>
      <c r="K168" s="11">
        <v>0.29399999999999998</v>
      </c>
      <c r="L168" s="12">
        <v>0.35099999999999998</v>
      </c>
      <c r="M168" s="11">
        <v>0.315</v>
      </c>
    </row>
    <row r="169" spans="1:13" x14ac:dyDescent="0.3">
      <c r="A169" s="99"/>
      <c r="B169" s="15">
        <v>53393</v>
      </c>
      <c r="C169" s="16">
        <v>224424</v>
      </c>
      <c r="D169" s="17"/>
      <c r="E169" s="15">
        <v>158439</v>
      </c>
      <c r="F169" s="16">
        <v>484398</v>
      </c>
      <c r="G169" s="17"/>
      <c r="H169" s="15">
        <v>174528</v>
      </c>
      <c r="I169" s="16">
        <v>468309</v>
      </c>
      <c r="J169" s="17"/>
      <c r="K169" s="15">
        <v>159230</v>
      </c>
      <c r="L169" s="16">
        <v>302872</v>
      </c>
      <c r="M169" s="15">
        <v>180735</v>
      </c>
    </row>
    <row r="170" spans="1:13" x14ac:dyDescent="0.3">
      <c r="A170" s="98" t="s">
        <v>21</v>
      </c>
      <c r="B170" s="11">
        <v>2.7E-2</v>
      </c>
      <c r="C170" s="12">
        <v>0.17399999999999999</v>
      </c>
      <c r="D170" s="13"/>
      <c r="E170" s="11">
        <v>3.7999999999999999E-2</v>
      </c>
      <c r="F170" s="12">
        <v>0.124</v>
      </c>
      <c r="G170" s="13"/>
      <c r="H170" s="11">
        <v>4.8000000000000001E-2</v>
      </c>
      <c r="I170" s="12">
        <v>0.121</v>
      </c>
      <c r="J170" s="13"/>
      <c r="K170" s="11">
        <v>7.6999999999999999E-2</v>
      </c>
      <c r="L170" s="12">
        <v>0.12</v>
      </c>
      <c r="M170" s="11">
        <v>7.8E-2</v>
      </c>
    </row>
    <row r="171" spans="1:13" x14ac:dyDescent="0.3">
      <c r="A171" s="99"/>
      <c r="B171" s="15">
        <v>6422</v>
      </c>
      <c r="C171" s="16">
        <v>94678</v>
      </c>
      <c r="D171" s="19"/>
      <c r="E171" s="15">
        <v>24668</v>
      </c>
      <c r="F171" s="16">
        <v>165767</v>
      </c>
      <c r="G171" s="19"/>
      <c r="H171" s="15">
        <v>31784</v>
      </c>
      <c r="I171" s="16">
        <v>158651</v>
      </c>
      <c r="J171" s="19"/>
      <c r="K171" s="15">
        <v>41871</v>
      </c>
      <c r="L171" s="16">
        <v>103764</v>
      </c>
      <c r="M171" s="15">
        <v>44800</v>
      </c>
    </row>
    <row r="173" spans="1:13" x14ac:dyDescent="0.3">
      <c r="A173" s="20" t="s">
        <v>76</v>
      </c>
      <c r="B173" s="20"/>
      <c r="C173" s="20"/>
      <c r="D173" s="20"/>
      <c r="E173" s="20"/>
      <c r="F173" s="20"/>
      <c r="G173" s="20"/>
      <c r="H173" s="20"/>
      <c r="I173" s="20"/>
      <c r="J173" s="20"/>
      <c r="K173" s="20"/>
      <c r="L173" s="20"/>
      <c r="M173" s="20"/>
    </row>
    <row r="174" spans="1:13" x14ac:dyDescent="0.3">
      <c r="A174" s="5"/>
      <c r="B174" s="6" t="s">
        <v>129</v>
      </c>
      <c r="C174" s="7" t="s">
        <v>130</v>
      </c>
      <c r="D174" s="8"/>
      <c r="E174" s="9" t="s">
        <v>131</v>
      </c>
      <c r="F174" s="7" t="s">
        <v>132</v>
      </c>
      <c r="G174" s="8"/>
      <c r="H174" s="9" t="s">
        <v>133</v>
      </c>
      <c r="I174" s="7" t="s">
        <v>134</v>
      </c>
      <c r="J174" s="8"/>
      <c r="K174" s="9" t="s">
        <v>12</v>
      </c>
      <c r="L174" s="6" t="s">
        <v>13</v>
      </c>
      <c r="M174" s="6" t="s">
        <v>14</v>
      </c>
    </row>
    <row r="175" spans="1:13" x14ac:dyDescent="0.3">
      <c r="A175" s="100" t="s">
        <v>22</v>
      </c>
      <c r="B175" s="47">
        <v>0.249</v>
      </c>
      <c r="C175" s="47">
        <v>0.58699999999999997</v>
      </c>
      <c r="D175" s="44"/>
      <c r="E175" s="47">
        <v>0.28499999999999998</v>
      </c>
      <c r="F175" s="47">
        <v>0.48599999999999999</v>
      </c>
      <c r="G175" s="44"/>
      <c r="H175" s="47">
        <v>0.314</v>
      </c>
      <c r="I175" s="47">
        <v>0.47699999999999998</v>
      </c>
      <c r="J175" s="44"/>
      <c r="K175" s="47">
        <v>0.374</v>
      </c>
      <c r="L175" s="47">
        <v>0.46400000000000002</v>
      </c>
      <c r="M175" s="47">
        <v>0.39</v>
      </c>
    </row>
    <row r="176" spans="1:13" x14ac:dyDescent="0.3">
      <c r="A176" s="101"/>
      <c r="B176" s="48">
        <v>261934</v>
      </c>
      <c r="C176" s="48">
        <v>561866</v>
      </c>
      <c r="D176" s="45"/>
      <c r="E176" s="48">
        <v>704173</v>
      </c>
      <c r="F176" s="48">
        <v>1393466</v>
      </c>
      <c r="G176" s="45"/>
      <c r="H176" s="48">
        <v>750950</v>
      </c>
      <c r="I176" s="48">
        <v>1346689</v>
      </c>
      <c r="J176" s="45"/>
      <c r="K176" s="48">
        <v>567830</v>
      </c>
      <c r="L176" s="48">
        <v>935337</v>
      </c>
      <c r="M176" s="48">
        <v>594472</v>
      </c>
    </row>
    <row r="177" spans="1:13" x14ac:dyDescent="0.3">
      <c r="A177" s="100" t="s">
        <v>23</v>
      </c>
      <c r="B177" s="47">
        <v>8.1000000000000003E-2</v>
      </c>
      <c r="C177" s="47">
        <v>0.224</v>
      </c>
      <c r="D177" s="44"/>
      <c r="E177" s="47">
        <v>9.0999999999999998E-2</v>
      </c>
      <c r="F177" s="47">
        <v>0.17499999999999999</v>
      </c>
      <c r="G177" s="44"/>
      <c r="H177" s="47">
        <v>0.109</v>
      </c>
      <c r="I177" s="47">
        <v>0.16800000000000001</v>
      </c>
      <c r="J177" s="44"/>
      <c r="K177" s="47">
        <v>0.14399999999999999</v>
      </c>
      <c r="L177" s="47">
        <v>0.16800000000000001</v>
      </c>
      <c r="M177" s="47">
        <v>0.11600000000000001</v>
      </c>
    </row>
    <row r="178" spans="1:13" x14ac:dyDescent="0.3">
      <c r="A178" s="101"/>
      <c r="B178" s="48">
        <v>21104</v>
      </c>
      <c r="C178" s="48">
        <v>125913</v>
      </c>
      <c r="D178" s="45"/>
      <c r="E178" s="48">
        <v>64404</v>
      </c>
      <c r="F178" s="48">
        <v>243229</v>
      </c>
      <c r="G178" s="45"/>
      <c r="H178" s="48">
        <v>82038</v>
      </c>
      <c r="I178" s="48">
        <v>225595</v>
      </c>
      <c r="J178" s="45"/>
      <c r="K178" s="48">
        <v>81528</v>
      </c>
      <c r="L178" s="48">
        <v>157252</v>
      </c>
      <c r="M178" s="48">
        <v>68853</v>
      </c>
    </row>
    <row r="179" spans="1:13" x14ac:dyDescent="0.3">
      <c r="A179" s="100" t="s">
        <v>24</v>
      </c>
      <c r="B179" s="47">
        <v>0.16700000000000001</v>
      </c>
      <c r="C179" s="47">
        <v>0.51</v>
      </c>
      <c r="D179" s="44"/>
      <c r="E179" s="47">
        <v>0.19900000000000001</v>
      </c>
      <c r="F179" s="47">
        <v>0.40200000000000002</v>
      </c>
      <c r="G179" s="44"/>
      <c r="H179" s="47">
        <v>0.23200000000000001</v>
      </c>
      <c r="I179" s="47">
        <v>0.39100000000000001</v>
      </c>
      <c r="J179" s="44"/>
      <c r="K179" s="47">
        <v>0.29799999999999999</v>
      </c>
      <c r="L179" s="47">
        <v>0.38400000000000001</v>
      </c>
      <c r="M179" s="47">
        <v>0.28899999999999998</v>
      </c>
    </row>
    <row r="180" spans="1:13" x14ac:dyDescent="0.3">
      <c r="A180" s="101"/>
      <c r="B180" s="48">
        <v>43697</v>
      </c>
      <c r="C180" s="48">
        <v>286441</v>
      </c>
      <c r="D180" s="45"/>
      <c r="E180" s="48">
        <v>140436</v>
      </c>
      <c r="F180" s="48">
        <v>560162</v>
      </c>
      <c r="G180" s="45"/>
      <c r="H180" s="48">
        <v>174169</v>
      </c>
      <c r="I180" s="48">
        <v>526429</v>
      </c>
      <c r="J180" s="45"/>
      <c r="K180" s="48">
        <v>169486</v>
      </c>
      <c r="L180" s="48">
        <v>359177</v>
      </c>
      <c r="M180" s="48">
        <v>171935</v>
      </c>
    </row>
    <row r="181" spans="1:13" x14ac:dyDescent="0.3">
      <c r="A181" s="100" t="s">
        <v>25</v>
      </c>
      <c r="B181" s="47">
        <v>6.9000000000000006E-2</v>
      </c>
      <c r="C181" s="47">
        <v>0.215</v>
      </c>
      <c r="D181" s="44"/>
      <c r="E181" s="47">
        <v>8.1000000000000003E-2</v>
      </c>
      <c r="F181" s="47">
        <v>0.16600000000000001</v>
      </c>
      <c r="G181" s="44"/>
      <c r="H181" s="47">
        <v>9.8000000000000004E-2</v>
      </c>
      <c r="I181" s="47">
        <v>0.159</v>
      </c>
      <c r="J181" s="44"/>
      <c r="K181" s="47">
        <v>0.13200000000000001</v>
      </c>
      <c r="L181" s="47">
        <v>0.158</v>
      </c>
      <c r="M181" s="47">
        <v>0.108</v>
      </c>
    </row>
    <row r="182" spans="1:13" x14ac:dyDescent="0.3">
      <c r="A182" s="101"/>
      <c r="B182" s="48">
        <v>18006</v>
      </c>
      <c r="C182" s="48">
        <v>120834</v>
      </c>
      <c r="D182" s="46"/>
      <c r="E182" s="48">
        <v>56926</v>
      </c>
      <c r="F182" s="48">
        <v>230690</v>
      </c>
      <c r="G182" s="46"/>
      <c r="H182" s="48">
        <v>73437</v>
      </c>
      <c r="I182" s="48">
        <v>214179</v>
      </c>
      <c r="J182" s="46"/>
      <c r="K182" s="48">
        <v>75224</v>
      </c>
      <c r="L182" s="48">
        <v>148152</v>
      </c>
      <c r="M182" s="48">
        <v>64240</v>
      </c>
    </row>
    <row r="184" spans="1:13" x14ac:dyDescent="0.3">
      <c r="A184" s="119" t="s">
        <v>140</v>
      </c>
      <c r="B184" s="20"/>
      <c r="C184" s="20"/>
      <c r="D184" s="20"/>
      <c r="E184" s="20"/>
      <c r="F184" s="20"/>
      <c r="G184" s="20"/>
      <c r="H184" s="20"/>
      <c r="I184" s="20"/>
      <c r="J184" s="20"/>
      <c r="K184" s="20"/>
      <c r="L184" s="20"/>
      <c r="M184" s="20"/>
    </row>
    <row r="185" spans="1:13" x14ac:dyDescent="0.3">
      <c r="A185" s="5"/>
      <c r="B185" s="6" t="s">
        <v>129</v>
      </c>
      <c r="C185" s="7" t="s">
        <v>130</v>
      </c>
      <c r="D185" s="8"/>
      <c r="E185" s="9" t="s">
        <v>131</v>
      </c>
      <c r="F185" s="7" t="s">
        <v>132</v>
      </c>
      <c r="G185" s="8"/>
      <c r="H185" s="9" t="s">
        <v>133</v>
      </c>
      <c r="I185" s="7" t="s">
        <v>134</v>
      </c>
      <c r="J185" s="8"/>
      <c r="K185" s="9" t="s">
        <v>12</v>
      </c>
      <c r="L185" s="6" t="s">
        <v>13</v>
      </c>
      <c r="M185" s="6" t="s">
        <v>14</v>
      </c>
    </row>
    <row r="186" spans="1:13" x14ac:dyDescent="0.3">
      <c r="A186" s="104" t="s">
        <v>80</v>
      </c>
      <c r="B186" s="47">
        <v>0.20699999999999999</v>
      </c>
      <c r="C186" s="47">
        <v>0.24299999999999999</v>
      </c>
      <c r="D186" s="44"/>
      <c r="E186" s="47">
        <v>0.23599999999999999</v>
      </c>
      <c r="F186" s="47">
        <v>0.251</v>
      </c>
      <c r="G186" s="44"/>
      <c r="H186" s="47">
        <v>0.23300000000000001</v>
      </c>
      <c r="I186" s="47">
        <v>0.254</v>
      </c>
      <c r="J186" s="44"/>
      <c r="K186" s="47">
        <v>0.23899999999999999</v>
      </c>
      <c r="L186" s="47">
        <v>0.23799999999999999</v>
      </c>
      <c r="M186" s="47">
        <v>0.28299999999999997</v>
      </c>
    </row>
    <row r="187" spans="1:13" x14ac:dyDescent="0.3">
      <c r="A187" s="105"/>
      <c r="B187" s="48">
        <v>4361</v>
      </c>
      <c r="C187" s="48">
        <v>30647</v>
      </c>
      <c r="D187" s="45"/>
      <c r="E187" s="48">
        <v>15178</v>
      </c>
      <c r="F187" s="48">
        <v>61151</v>
      </c>
      <c r="G187" s="45"/>
      <c r="H187" s="48">
        <v>19130</v>
      </c>
      <c r="I187" s="48">
        <v>57199</v>
      </c>
      <c r="J187" s="45"/>
      <c r="K187" s="48">
        <v>19484</v>
      </c>
      <c r="L187" s="48">
        <v>37390</v>
      </c>
      <c r="M187" s="48">
        <v>19455</v>
      </c>
    </row>
    <row r="188" spans="1:13" x14ac:dyDescent="0.3">
      <c r="A188" s="102" t="s">
        <v>81</v>
      </c>
      <c r="B188" s="47">
        <v>0.122</v>
      </c>
      <c r="C188" s="47">
        <v>0.14299999999999999</v>
      </c>
      <c r="D188" s="44"/>
      <c r="E188" s="47">
        <v>0.13</v>
      </c>
      <c r="F188" s="47">
        <v>0.13700000000000001</v>
      </c>
      <c r="G188" s="44"/>
      <c r="H188" s="47">
        <v>0.13600000000000001</v>
      </c>
      <c r="I188" s="47">
        <v>0.13500000000000001</v>
      </c>
      <c r="J188" s="44"/>
      <c r="K188" s="47">
        <v>0.13800000000000001</v>
      </c>
      <c r="L188" s="47">
        <v>0.14199999999999999</v>
      </c>
      <c r="M188" s="47">
        <v>0.11899999999999999</v>
      </c>
    </row>
    <row r="189" spans="1:13" x14ac:dyDescent="0.3">
      <c r="A189" s="103"/>
      <c r="B189" s="48">
        <v>2566</v>
      </c>
      <c r="C189" s="48">
        <v>17970</v>
      </c>
      <c r="D189" s="45"/>
      <c r="E189" s="48">
        <v>8358</v>
      </c>
      <c r="F189" s="48">
        <v>33358</v>
      </c>
      <c r="G189" s="45"/>
      <c r="H189" s="48">
        <v>11158</v>
      </c>
      <c r="I189" s="48">
        <v>30558</v>
      </c>
      <c r="J189" s="45"/>
      <c r="K189" s="48">
        <v>11217</v>
      </c>
      <c r="L189" s="48">
        <v>22285</v>
      </c>
      <c r="M189" s="48">
        <v>8214</v>
      </c>
    </row>
    <row r="190" spans="1:13" x14ac:dyDescent="0.3">
      <c r="A190" s="102" t="s">
        <v>82</v>
      </c>
      <c r="B190" s="47">
        <v>4.0000000000000001E-3</v>
      </c>
      <c r="C190" s="47">
        <v>8.0000000000000002E-3</v>
      </c>
      <c r="D190" s="44"/>
      <c r="E190" s="47">
        <v>5.0000000000000001E-3</v>
      </c>
      <c r="F190" s="47">
        <v>8.0000000000000002E-3</v>
      </c>
      <c r="G190" s="44"/>
      <c r="H190" s="47">
        <v>5.0000000000000001E-3</v>
      </c>
      <c r="I190" s="47">
        <v>8.0000000000000002E-3</v>
      </c>
      <c r="J190" s="44"/>
      <c r="K190" s="47">
        <v>6.0000000000000001E-3</v>
      </c>
      <c r="L190" s="47">
        <v>7.0000000000000001E-3</v>
      </c>
      <c r="M190" s="47">
        <v>8.9999999999999993E-3</v>
      </c>
    </row>
    <row r="191" spans="1:13" x14ac:dyDescent="0.3">
      <c r="A191" s="103"/>
      <c r="B191" s="48">
        <v>84</v>
      </c>
      <c r="C191" s="48">
        <v>995</v>
      </c>
      <c r="D191" s="45"/>
      <c r="E191" s="48">
        <v>329</v>
      </c>
      <c r="F191" s="48">
        <v>1966</v>
      </c>
      <c r="G191" s="45"/>
      <c r="H191" s="48">
        <v>386</v>
      </c>
      <c r="I191" s="48">
        <v>1909</v>
      </c>
      <c r="J191" s="45"/>
      <c r="K191" s="48">
        <v>508</v>
      </c>
      <c r="L191" s="48">
        <v>1138</v>
      </c>
      <c r="M191" s="48">
        <v>649</v>
      </c>
    </row>
    <row r="192" spans="1:13" x14ac:dyDescent="0.3">
      <c r="A192" s="102" t="s">
        <v>83</v>
      </c>
      <c r="B192" s="47">
        <v>0.107</v>
      </c>
      <c r="C192" s="47">
        <v>0.19700000000000001</v>
      </c>
      <c r="D192" s="44"/>
      <c r="E192" s="47">
        <v>0.127</v>
      </c>
      <c r="F192" s="47">
        <v>0.184</v>
      </c>
      <c r="G192" s="44"/>
      <c r="H192" s="47">
        <v>0.13500000000000001</v>
      </c>
      <c r="I192" s="47">
        <v>0.186</v>
      </c>
      <c r="J192" s="44"/>
      <c r="K192" s="47">
        <v>0.155</v>
      </c>
      <c r="L192" s="47">
        <v>0.17899999999999999</v>
      </c>
      <c r="M192" s="47">
        <v>0.17699999999999999</v>
      </c>
    </row>
    <row r="193" spans="1:13" x14ac:dyDescent="0.3">
      <c r="A193" s="103"/>
      <c r="B193" s="48">
        <v>2250</v>
      </c>
      <c r="C193" s="48">
        <v>24818</v>
      </c>
      <c r="D193" s="46"/>
      <c r="E193" s="48">
        <v>8169</v>
      </c>
      <c r="F193" s="48">
        <v>44842</v>
      </c>
      <c r="G193" s="46"/>
      <c r="H193" s="48">
        <v>11053</v>
      </c>
      <c r="I193" s="48">
        <v>41958</v>
      </c>
      <c r="J193" s="46"/>
      <c r="K193" s="48">
        <v>12673</v>
      </c>
      <c r="L193" s="48">
        <v>28127</v>
      </c>
      <c r="M193" s="48">
        <v>12211</v>
      </c>
    </row>
    <row r="194" spans="1:13" x14ac:dyDescent="0.3">
      <c r="A194" s="102" t="s">
        <v>84</v>
      </c>
      <c r="B194" s="11">
        <v>2.9000000000000001E-2</v>
      </c>
      <c r="C194" s="12">
        <v>3.9E-2</v>
      </c>
      <c r="D194" s="13"/>
      <c r="E194" s="14">
        <v>3.1E-2</v>
      </c>
      <c r="F194" s="12">
        <v>3.6999999999999998E-2</v>
      </c>
      <c r="G194" s="13"/>
      <c r="H194" s="14">
        <v>3.1E-2</v>
      </c>
      <c r="I194" s="12">
        <v>3.6999999999999998E-2</v>
      </c>
      <c r="J194" s="13"/>
      <c r="K194" s="14">
        <v>3.6999999999999998E-2</v>
      </c>
      <c r="L194" s="11">
        <v>3.5999999999999997E-2</v>
      </c>
      <c r="M194" s="11">
        <v>3.3000000000000002E-2</v>
      </c>
    </row>
    <row r="195" spans="1:13" x14ac:dyDescent="0.3">
      <c r="A195" s="103"/>
      <c r="B195" s="15">
        <v>619</v>
      </c>
      <c r="C195" s="16">
        <v>4903</v>
      </c>
      <c r="D195" s="17"/>
      <c r="E195" s="18">
        <v>1973</v>
      </c>
      <c r="F195" s="16">
        <v>8969</v>
      </c>
      <c r="G195" s="17"/>
      <c r="H195" s="18">
        <v>2508</v>
      </c>
      <c r="I195" s="16">
        <v>8434</v>
      </c>
      <c r="J195" s="17"/>
      <c r="K195" s="18">
        <v>3042</v>
      </c>
      <c r="L195" s="15">
        <v>5629</v>
      </c>
      <c r="M195" s="15">
        <v>2271</v>
      </c>
    </row>
    <row r="196" spans="1:13" x14ac:dyDescent="0.3">
      <c r="A196" s="102" t="s">
        <v>85</v>
      </c>
      <c r="B196" s="11">
        <v>2.8000000000000001E-2</v>
      </c>
      <c r="C196" s="12">
        <v>3.2000000000000001E-2</v>
      </c>
      <c r="D196" s="13"/>
      <c r="E196" s="14">
        <v>0.03</v>
      </c>
      <c r="F196" s="12">
        <v>3.3000000000000002E-2</v>
      </c>
      <c r="G196" s="13"/>
      <c r="H196" s="14">
        <v>0.03</v>
      </c>
      <c r="I196" s="12">
        <v>3.3000000000000002E-2</v>
      </c>
      <c r="J196" s="13"/>
      <c r="K196" s="14">
        <v>3.4000000000000002E-2</v>
      </c>
      <c r="L196" s="11">
        <v>3.1E-2</v>
      </c>
      <c r="M196" s="11">
        <v>3.3000000000000002E-2</v>
      </c>
    </row>
    <row r="197" spans="1:13" x14ac:dyDescent="0.3">
      <c r="A197" s="103"/>
      <c r="B197" s="15">
        <v>584</v>
      </c>
      <c r="C197" s="16">
        <v>3996</v>
      </c>
      <c r="D197" s="17"/>
      <c r="E197" s="18">
        <v>1932</v>
      </c>
      <c r="F197" s="16">
        <v>7976</v>
      </c>
      <c r="G197" s="17"/>
      <c r="H197" s="18">
        <v>2421</v>
      </c>
      <c r="I197" s="16">
        <v>7487</v>
      </c>
      <c r="J197" s="17"/>
      <c r="K197" s="18">
        <v>2753</v>
      </c>
      <c r="L197" s="15">
        <v>4908</v>
      </c>
      <c r="M197" s="15">
        <v>2247</v>
      </c>
    </row>
    <row r="198" spans="1:13" x14ac:dyDescent="0.3">
      <c r="A198" s="102" t="s">
        <v>86</v>
      </c>
      <c r="B198" s="11">
        <v>0.23200000000000001</v>
      </c>
      <c r="C198" s="12">
        <v>0.14000000000000001</v>
      </c>
      <c r="D198" s="13"/>
      <c r="E198" s="14">
        <v>0.20699999999999999</v>
      </c>
      <c r="F198" s="12">
        <v>0.152</v>
      </c>
      <c r="G198" s="13"/>
      <c r="H198" s="14">
        <v>0.19800000000000001</v>
      </c>
      <c r="I198" s="12">
        <v>0.151</v>
      </c>
      <c r="J198" s="13"/>
      <c r="K198" s="14">
        <v>0.16500000000000001</v>
      </c>
      <c r="L198" s="11">
        <v>0.16</v>
      </c>
      <c r="M198" s="11">
        <v>0.16800000000000001</v>
      </c>
    </row>
    <row r="199" spans="1:13" x14ac:dyDescent="0.3">
      <c r="A199" s="103"/>
      <c r="B199" s="15">
        <v>4894</v>
      </c>
      <c r="C199" s="16">
        <v>17566</v>
      </c>
      <c r="D199" s="17"/>
      <c r="E199" s="18">
        <v>13362</v>
      </c>
      <c r="F199" s="16">
        <v>36882</v>
      </c>
      <c r="G199" s="17"/>
      <c r="H199" s="18">
        <v>16211</v>
      </c>
      <c r="I199" s="16">
        <v>34033</v>
      </c>
      <c r="J199" s="17"/>
      <c r="K199" s="18">
        <v>13439</v>
      </c>
      <c r="L199" s="15">
        <v>25228</v>
      </c>
      <c r="M199" s="15">
        <v>11577</v>
      </c>
    </row>
    <row r="200" spans="1:13" x14ac:dyDescent="0.3">
      <c r="A200" s="102" t="s">
        <v>87</v>
      </c>
      <c r="B200" s="11">
        <v>0.27200000000000002</v>
      </c>
      <c r="C200" s="12">
        <v>0.19900000000000001</v>
      </c>
      <c r="D200" s="13"/>
      <c r="E200" s="14">
        <v>0.23499999999999999</v>
      </c>
      <c r="F200" s="12">
        <v>0.19800000000000001</v>
      </c>
      <c r="G200" s="13"/>
      <c r="H200" s="14">
        <v>0.23400000000000001</v>
      </c>
      <c r="I200" s="12">
        <v>0.19500000000000001</v>
      </c>
      <c r="J200" s="13"/>
      <c r="K200" s="14">
        <v>0.22600000000000001</v>
      </c>
      <c r="L200" s="11">
        <v>0.20699999999999999</v>
      </c>
      <c r="M200" s="11">
        <v>0.17799999999999999</v>
      </c>
    </row>
    <row r="201" spans="1:13" x14ac:dyDescent="0.3">
      <c r="A201" s="103"/>
      <c r="B201" s="15">
        <v>5746</v>
      </c>
      <c r="C201" s="16">
        <v>25018</v>
      </c>
      <c r="D201" s="17"/>
      <c r="E201" s="18">
        <v>15103</v>
      </c>
      <c r="F201" s="16">
        <v>48085</v>
      </c>
      <c r="G201" s="17"/>
      <c r="H201" s="18">
        <v>19171</v>
      </c>
      <c r="I201" s="16">
        <v>44017</v>
      </c>
      <c r="J201" s="17"/>
      <c r="K201" s="18">
        <v>18412</v>
      </c>
      <c r="L201" s="15">
        <v>32547</v>
      </c>
      <c r="M201" s="15">
        <v>12229</v>
      </c>
    </row>
    <row r="203" spans="1:13" x14ac:dyDescent="0.3">
      <c r="A203" s="20" t="s">
        <v>77</v>
      </c>
      <c r="B203" s="20"/>
      <c r="C203" s="20"/>
      <c r="D203" s="20"/>
      <c r="E203" s="20"/>
      <c r="F203" s="20"/>
    </row>
    <row r="204" spans="1:13" s="27" customFormat="1" ht="28.8" x14ac:dyDescent="0.3">
      <c r="A204" s="21"/>
      <c r="B204" s="22" t="s">
        <v>26</v>
      </c>
      <c r="C204" s="23" t="s">
        <v>27</v>
      </c>
      <c r="D204" s="24"/>
      <c r="E204" s="25" t="s">
        <v>28</v>
      </c>
      <c r="F204" s="76" t="s">
        <v>29</v>
      </c>
      <c r="G204" s="26"/>
    </row>
    <row r="205" spans="1:13" x14ac:dyDescent="0.3">
      <c r="A205" s="98" t="s">
        <v>15</v>
      </c>
      <c r="B205" s="11">
        <v>0.53300000000000003</v>
      </c>
      <c r="C205" s="12">
        <v>0.49199999999999999</v>
      </c>
      <c r="D205" s="13"/>
      <c r="E205" s="14">
        <v>0.59499999999999997</v>
      </c>
      <c r="F205" s="11">
        <v>0.65400000000000003</v>
      </c>
      <c r="G205" s="28"/>
    </row>
    <row r="206" spans="1:13" x14ac:dyDescent="0.3">
      <c r="A206" s="99"/>
      <c r="B206" s="15">
        <v>297299</v>
      </c>
      <c r="C206" s="16">
        <v>86708</v>
      </c>
      <c r="D206" s="17"/>
      <c r="E206" s="18">
        <v>130247</v>
      </c>
      <c r="F206" s="15">
        <v>566319</v>
      </c>
      <c r="G206" s="29"/>
    </row>
    <row r="207" spans="1:13" x14ac:dyDescent="0.3">
      <c r="A207" s="98" t="s">
        <v>16</v>
      </c>
      <c r="B207" s="11">
        <v>0.31</v>
      </c>
      <c r="C207" s="12">
        <v>0.312</v>
      </c>
      <c r="D207" s="13"/>
      <c r="E207" s="14">
        <v>0.39800000000000002</v>
      </c>
      <c r="F207" s="11">
        <v>0.495</v>
      </c>
      <c r="G207" s="28"/>
    </row>
    <row r="208" spans="1:13" x14ac:dyDescent="0.3">
      <c r="A208" s="99"/>
      <c r="B208" s="15">
        <v>172964</v>
      </c>
      <c r="C208" s="16">
        <v>55017</v>
      </c>
      <c r="D208" s="17"/>
      <c r="E208" s="18">
        <v>87139</v>
      </c>
      <c r="F208" s="15">
        <v>428950</v>
      </c>
      <c r="G208" s="29"/>
    </row>
    <row r="209" spans="1:7" x14ac:dyDescent="0.3">
      <c r="A209" s="98" t="s">
        <v>17</v>
      </c>
      <c r="B209" s="11">
        <v>0.223</v>
      </c>
      <c r="C209" s="12">
        <v>0.18</v>
      </c>
      <c r="D209" s="13"/>
      <c r="E209" s="14">
        <v>0.19700000000000001</v>
      </c>
      <c r="F209" s="11">
        <v>0.159</v>
      </c>
      <c r="G209" s="28"/>
    </row>
    <row r="210" spans="1:7" x14ac:dyDescent="0.3">
      <c r="A210" s="99"/>
      <c r="B210" s="15">
        <v>124335</v>
      </c>
      <c r="C210" s="16">
        <v>31691</v>
      </c>
      <c r="D210" s="17"/>
      <c r="E210" s="18">
        <v>43108</v>
      </c>
      <c r="F210" s="15">
        <v>137369</v>
      </c>
      <c r="G210" s="29"/>
    </row>
    <row r="211" spans="1:7" x14ac:dyDescent="0.3">
      <c r="A211" s="98" t="s">
        <v>18</v>
      </c>
      <c r="B211" s="11">
        <v>0.46800000000000003</v>
      </c>
      <c r="C211" s="12">
        <v>0.41699999999999998</v>
      </c>
      <c r="D211" s="13"/>
      <c r="E211" s="14">
        <v>0.501</v>
      </c>
      <c r="F211" s="11">
        <v>0.52500000000000002</v>
      </c>
      <c r="G211" s="28"/>
    </row>
    <row r="212" spans="1:7" x14ac:dyDescent="0.3">
      <c r="A212" s="99"/>
      <c r="B212" s="15">
        <v>260830</v>
      </c>
      <c r="C212" s="16">
        <v>73484</v>
      </c>
      <c r="D212" s="17"/>
      <c r="E212" s="18">
        <v>109711</v>
      </c>
      <c r="F212" s="15">
        <v>454483</v>
      </c>
      <c r="G212" s="29"/>
    </row>
    <row r="213" spans="1:7" x14ac:dyDescent="0.3">
      <c r="A213" s="98" t="s">
        <v>19</v>
      </c>
      <c r="B213" s="11">
        <v>6.5000000000000002E-2</v>
      </c>
      <c r="C213" s="12">
        <v>7.4999999999999997E-2</v>
      </c>
      <c r="D213" s="13"/>
      <c r="E213" s="14">
        <v>9.4E-2</v>
      </c>
      <c r="F213" s="11">
        <v>0.129</v>
      </c>
      <c r="G213" s="28"/>
    </row>
    <row r="214" spans="1:7" x14ac:dyDescent="0.3">
      <c r="A214" s="99"/>
      <c r="B214" s="15">
        <v>36469</v>
      </c>
      <c r="C214" s="16">
        <v>13224</v>
      </c>
      <c r="D214" s="17"/>
      <c r="E214" s="18">
        <v>20536</v>
      </c>
      <c r="F214" s="15">
        <v>111836</v>
      </c>
      <c r="G214" s="29"/>
    </row>
    <row r="215" spans="1:7" x14ac:dyDescent="0.3">
      <c r="A215" s="98" t="s">
        <v>20</v>
      </c>
      <c r="B215" s="11">
        <v>0.47399999999999998</v>
      </c>
      <c r="C215" s="12">
        <v>0.42799999999999999</v>
      </c>
      <c r="D215" s="13"/>
      <c r="E215" s="14">
        <v>0.48599999999999999</v>
      </c>
      <c r="F215" s="11">
        <v>0.48599999999999999</v>
      </c>
      <c r="G215" s="28"/>
    </row>
    <row r="216" spans="1:7" x14ac:dyDescent="0.3">
      <c r="A216" s="99"/>
      <c r="B216" s="15">
        <v>264184</v>
      </c>
      <c r="C216" s="16">
        <v>75334</v>
      </c>
      <c r="D216" s="17"/>
      <c r="E216" s="18">
        <v>106392</v>
      </c>
      <c r="F216" s="15">
        <v>420943</v>
      </c>
      <c r="G216" s="29"/>
    </row>
    <row r="217" spans="1:7" x14ac:dyDescent="0.3">
      <c r="A217" s="98" t="s">
        <v>21</v>
      </c>
      <c r="B217" s="11">
        <v>5.8999999999999997E-2</v>
      </c>
      <c r="C217" s="12">
        <v>6.5000000000000002E-2</v>
      </c>
      <c r="D217" s="13"/>
      <c r="E217" s="14">
        <v>0.109</v>
      </c>
      <c r="F217" s="11">
        <v>0.16800000000000001</v>
      </c>
      <c r="G217" s="28"/>
    </row>
    <row r="218" spans="1:7" x14ac:dyDescent="0.3">
      <c r="A218" s="99"/>
      <c r="B218" s="15">
        <v>33115</v>
      </c>
      <c r="C218" s="16">
        <v>11374</v>
      </c>
      <c r="D218" s="17"/>
      <c r="E218" s="18">
        <v>23855</v>
      </c>
      <c r="F218" s="15">
        <v>145376</v>
      </c>
      <c r="G218" s="29"/>
    </row>
    <row r="220" spans="1:7" ht="14.4" customHeight="1" x14ac:dyDescent="0.3">
      <c r="A220" s="20" t="s">
        <v>78</v>
      </c>
      <c r="B220" s="20"/>
      <c r="C220" s="20"/>
      <c r="D220" s="20"/>
      <c r="E220" s="20"/>
      <c r="F220" s="20"/>
    </row>
    <row r="221" spans="1:7" s="27" customFormat="1" ht="28.8" x14ac:dyDescent="0.3">
      <c r="A221" s="21"/>
      <c r="B221" s="22" t="s">
        <v>26</v>
      </c>
      <c r="C221" s="23" t="s">
        <v>27</v>
      </c>
      <c r="D221" s="24"/>
      <c r="E221" s="25" t="s">
        <v>28</v>
      </c>
      <c r="F221" s="76" t="s">
        <v>29</v>
      </c>
      <c r="G221" s="26"/>
    </row>
    <row r="222" spans="1:7" x14ac:dyDescent="0.3">
      <c r="A222" s="98" t="s">
        <v>15</v>
      </c>
      <c r="B222" s="11">
        <v>0.77600000000000002</v>
      </c>
      <c r="C222" s="12">
        <v>0.78600000000000003</v>
      </c>
      <c r="D222" s="13"/>
      <c r="E222" s="14">
        <v>0.83199999999999996</v>
      </c>
      <c r="F222" s="11">
        <v>0.877</v>
      </c>
      <c r="G222" s="28"/>
    </row>
    <row r="223" spans="1:7" x14ac:dyDescent="0.3">
      <c r="A223" s="99"/>
      <c r="B223" s="15">
        <v>205825</v>
      </c>
      <c r="C223" s="16">
        <v>49503</v>
      </c>
      <c r="D223" s="17"/>
      <c r="E223" s="18">
        <v>163418</v>
      </c>
      <c r="F223" s="15">
        <v>684652</v>
      </c>
      <c r="G223" s="29"/>
    </row>
    <row r="224" spans="1:7" x14ac:dyDescent="0.3">
      <c r="A224" s="98" t="s">
        <v>16</v>
      </c>
      <c r="B224" s="11">
        <v>0.85099999999999998</v>
      </c>
      <c r="C224" s="12">
        <v>0.85699999999999998</v>
      </c>
      <c r="D224" s="13"/>
      <c r="E224" s="14">
        <v>0.88800000000000001</v>
      </c>
      <c r="F224" s="11">
        <v>0.92500000000000004</v>
      </c>
      <c r="G224" s="28"/>
    </row>
    <row r="225" spans="1:7" x14ac:dyDescent="0.3">
      <c r="A225" s="99"/>
      <c r="B225" s="15">
        <v>125539</v>
      </c>
      <c r="C225" s="16">
        <v>31806</v>
      </c>
      <c r="D225" s="17"/>
      <c r="E225" s="18">
        <v>118152</v>
      </c>
      <c r="F225" s="15">
        <v>542750</v>
      </c>
      <c r="G225" s="29"/>
    </row>
    <row r="226" spans="1:7" x14ac:dyDescent="0.3">
      <c r="A226" s="98" t="s">
        <v>17</v>
      </c>
      <c r="B226" s="11">
        <v>0.68200000000000005</v>
      </c>
      <c r="C226" s="12">
        <v>0.68400000000000005</v>
      </c>
      <c r="D226" s="13"/>
      <c r="E226" s="14">
        <v>0.71499999999999997</v>
      </c>
      <c r="F226" s="11">
        <v>0.73199999999999998</v>
      </c>
      <c r="G226" s="28"/>
    </row>
    <row r="227" spans="1:7" x14ac:dyDescent="0.3">
      <c r="A227" s="99"/>
      <c r="B227" s="15">
        <v>80286</v>
      </c>
      <c r="C227" s="16">
        <v>17697</v>
      </c>
      <c r="D227" s="17"/>
      <c r="E227" s="18">
        <v>45266</v>
      </c>
      <c r="F227" s="15">
        <v>141902</v>
      </c>
      <c r="G227" s="29"/>
    </row>
    <row r="228" spans="1:7" x14ac:dyDescent="0.3">
      <c r="A228" s="98" t="s">
        <v>18</v>
      </c>
      <c r="B228" s="11">
        <v>0.76900000000000002</v>
      </c>
      <c r="C228" s="12">
        <v>0.77400000000000002</v>
      </c>
      <c r="D228" s="13"/>
      <c r="E228" s="14">
        <v>0.82299999999999995</v>
      </c>
      <c r="F228" s="11">
        <v>0.86299999999999999</v>
      </c>
      <c r="G228" s="28"/>
    </row>
    <row r="229" spans="1:7" x14ac:dyDescent="0.3">
      <c r="A229" s="99"/>
      <c r="B229" s="15">
        <v>178245</v>
      </c>
      <c r="C229" s="16">
        <v>41298</v>
      </c>
      <c r="D229" s="17"/>
      <c r="E229" s="18">
        <v>136088</v>
      </c>
      <c r="F229" s="15">
        <v>526785</v>
      </c>
      <c r="G229" s="29"/>
    </row>
    <row r="230" spans="1:7" x14ac:dyDescent="0.3">
      <c r="A230" s="98" t="s">
        <v>19</v>
      </c>
      <c r="B230" s="11">
        <v>0.82</v>
      </c>
      <c r="C230" s="12">
        <v>0.85099999999999998</v>
      </c>
      <c r="D230" s="13"/>
      <c r="E230" s="14">
        <v>0.88</v>
      </c>
      <c r="F230" s="11">
        <v>0.92800000000000005</v>
      </c>
      <c r="G230" s="28"/>
    </row>
    <row r="231" spans="1:7" x14ac:dyDescent="0.3">
      <c r="A231" s="99"/>
      <c r="B231" s="15">
        <v>27580</v>
      </c>
      <c r="C231" s="16">
        <v>8205</v>
      </c>
      <c r="D231" s="17"/>
      <c r="E231" s="18">
        <v>27330</v>
      </c>
      <c r="F231" s="15">
        <v>157867</v>
      </c>
      <c r="G231" s="29"/>
    </row>
    <row r="232" spans="1:7" x14ac:dyDescent="0.3">
      <c r="A232" s="98" t="s">
        <v>20</v>
      </c>
      <c r="B232" s="11">
        <v>0.77</v>
      </c>
      <c r="C232" s="12">
        <v>0.78200000000000003</v>
      </c>
      <c r="D232" s="13"/>
      <c r="E232" s="14">
        <v>0.82199999999999995</v>
      </c>
      <c r="F232" s="11">
        <v>0.85799999999999998</v>
      </c>
      <c r="G232" s="28"/>
    </row>
    <row r="233" spans="1:7" x14ac:dyDescent="0.3">
      <c r="A233" s="99"/>
      <c r="B233" s="15">
        <v>181981</v>
      </c>
      <c r="C233" s="16">
        <v>42933</v>
      </c>
      <c r="D233" s="17"/>
      <c r="E233" s="18">
        <v>132480</v>
      </c>
      <c r="F233" s="15">
        <v>492476</v>
      </c>
      <c r="G233" s="29"/>
    </row>
    <row r="234" spans="1:7" x14ac:dyDescent="0.3">
      <c r="A234" s="98" t="s">
        <v>21</v>
      </c>
      <c r="B234" s="11">
        <v>0.82499999999999996</v>
      </c>
      <c r="C234" s="12">
        <v>0.81399999999999995</v>
      </c>
      <c r="D234" s="13"/>
      <c r="E234" s="14">
        <v>0.88</v>
      </c>
      <c r="F234" s="11">
        <v>0.92900000000000005</v>
      </c>
      <c r="G234" s="28"/>
    </row>
    <row r="235" spans="1:7" x14ac:dyDescent="0.3">
      <c r="A235" s="99"/>
      <c r="B235" s="15">
        <v>23844</v>
      </c>
      <c r="C235" s="16">
        <v>6570</v>
      </c>
      <c r="D235" s="17"/>
      <c r="E235" s="18">
        <v>30938</v>
      </c>
      <c r="F235" s="15">
        <v>192176</v>
      </c>
      <c r="G235" s="29"/>
    </row>
    <row r="237" spans="1:7" ht="14.4" customHeight="1" x14ac:dyDescent="0.3">
      <c r="A237" s="20" t="s">
        <v>79</v>
      </c>
      <c r="B237" s="20"/>
      <c r="C237" s="20"/>
      <c r="D237" s="20"/>
      <c r="E237" s="20"/>
      <c r="F237" s="20"/>
    </row>
    <row r="238" spans="1:7" s="27" customFormat="1" ht="28.8" x14ac:dyDescent="0.3">
      <c r="A238" s="21"/>
      <c r="B238" s="22" t="s">
        <v>26</v>
      </c>
      <c r="C238" s="23" t="s">
        <v>27</v>
      </c>
      <c r="D238" s="24"/>
      <c r="E238" s="25" t="s">
        <v>28</v>
      </c>
      <c r="F238" s="76" t="s">
        <v>29</v>
      </c>
      <c r="G238" s="26"/>
    </row>
    <row r="239" spans="1:7" x14ac:dyDescent="0.3">
      <c r="A239" s="98" t="s">
        <v>15</v>
      </c>
      <c r="B239" s="11">
        <v>0.27900000000000003</v>
      </c>
      <c r="C239" s="12">
        <v>0.30199999999999999</v>
      </c>
      <c r="D239" s="13"/>
      <c r="E239" s="14">
        <v>0.39400000000000002</v>
      </c>
      <c r="F239" s="11">
        <v>0.504</v>
      </c>
      <c r="G239" s="28"/>
    </row>
    <row r="240" spans="1:7" x14ac:dyDescent="0.3">
      <c r="A240" s="99"/>
      <c r="B240" s="15">
        <v>145413</v>
      </c>
      <c r="C240" s="16">
        <v>55194</v>
      </c>
      <c r="D240" s="17"/>
      <c r="E240" s="18">
        <v>90457</v>
      </c>
      <c r="F240" s="15">
        <v>587165</v>
      </c>
      <c r="G240" s="29"/>
    </row>
    <row r="241" spans="1:7" x14ac:dyDescent="0.3">
      <c r="A241" s="98" t="s">
        <v>16</v>
      </c>
      <c r="B241" s="11">
        <v>0.192</v>
      </c>
      <c r="C241" s="12">
        <v>0.21</v>
      </c>
      <c r="D241" s="13"/>
      <c r="E241" s="14">
        <v>0.309</v>
      </c>
      <c r="F241" s="11">
        <v>0.41699999999999998</v>
      </c>
      <c r="G241" s="28"/>
    </row>
    <row r="242" spans="1:7" x14ac:dyDescent="0.3">
      <c r="A242" s="99"/>
      <c r="B242" s="15">
        <v>100367</v>
      </c>
      <c r="C242" s="16">
        <v>38422</v>
      </c>
      <c r="D242" s="17"/>
      <c r="E242" s="18">
        <v>71015</v>
      </c>
      <c r="F242" s="15">
        <v>484962</v>
      </c>
      <c r="G242" s="29"/>
    </row>
    <row r="243" spans="1:7" x14ac:dyDescent="0.3">
      <c r="A243" s="98" t="s">
        <v>17</v>
      </c>
      <c r="B243" s="11">
        <v>8.5999999999999993E-2</v>
      </c>
      <c r="C243" s="12">
        <v>9.1999999999999998E-2</v>
      </c>
      <c r="D243" s="13"/>
      <c r="E243" s="14">
        <v>8.5000000000000006E-2</v>
      </c>
      <c r="F243" s="11">
        <v>8.7999999999999995E-2</v>
      </c>
      <c r="G243" s="28"/>
    </row>
    <row r="244" spans="1:7" x14ac:dyDescent="0.3">
      <c r="A244" s="99"/>
      <c r="B244" s="15">
        <v>44893</v>
      </c>
      <c r="C244" s="16">
        <v>16765</v>
      </c>
      <c r="D244" s="17"/>
      <c r="E244" s="18">
        <v>19434</v>
      </c>
      <c r="F244" s="15">
        <v>102171</v>
      </c>
      <c r="G244" s="29"/>
    </row>
    <row r="245" spans="1:7" x14ac:dyDescent="0.3">
      <c r="A245" s="98" t="s">
        <v>18</v>
      </c>
      <c r="B245" s="11">
        <v>0.23100000000000001</v>
      </c>
      <c r="C245" s="12">
        <v>0.24399999999999999</v>
      </c>
      <c r="D245" s="13"/>
      <c r="E245" s="14">
        <v>0.315</v>
      </c>
      <c r="F245" s="11">
        <v>0.377</v>
      </c>
      <c r="G245" s="28"/>
    </row>
    <row r="246" spans="1:7" x14ac:dyDescent="0.3">
      <c r="A246" s="99"/>
      <c r="B246" s="15">
        <v>120573</v>
      </c>
      <c r="C246" s="16">
        <v>44528</v>
      </c>
      <c r="D246" s="17"/>
      <c r="E246" s="18">
        <v>72376</v>
      </c>
      <c r="F246" s="15">
        <v>438441</v>
      </c>
      <c r="G246" s="29"/>
    </row>
    <row r="247" spans="1:7" x14ac:dyDescent="0.3">
      <c r="A247" s="98" t="s">
        <v>19</v>
      </c>
      <c r="B247" s="11">
        <v>4.8000000000000001E-2</v>
      </c>
      <c r="C247" s="12">
        <v>5.8000000000000003E-2</v>
      </c>
      <c r="D247" s="13"/>
      <c r="E247" s="14">
        <v>7.9000000000000001E-2</v>
      </c>
      <c r="F247" s="11">
        <v>0.128</v>
      </c>
      <c r="G247" s="28"/>
    </row>
    <row r="248" spans="1:7" x14ac:dyDescent="0.3">
      <c r="A248" s="99"/>
      <c r="B248" s="15">
        <v>24840</v>
      </c>
      <c r="C248" s="16">
        <v>10666</v>
      </c>
      <c r="D248" s="17"/>
      <c r="E248" s="18">
        <v>18081</v>
      </c>
      <c r="F248" s="15">
        <v>148724</v>
      </c>
      <c r="G248" s="29"/>
    </row>
    <row r="249" spans="1:7" x14ac:dyDescent="0.3">
      <c r="A249" s="98" t="s">
        <v>20</v>
      </c>
      <c r="B249" s="11">
        <v>0.24299999999999999</v>
      </c>
      <c r="C249" s="12">
        <v>0.25900000000000001</v>
      </c>
      <c r="D249" s="13"/>
      <c r="E249" s="14">
        <v>0.313</v>
      </c>
      <c r="F249" s="11">
        <v>0.36899999999999999</v>
      </c>
      <c r="G249" s="28"/>
    </row>
    <row r="250" spans="1:7" x14ac:dyDescent="0.3">
      <c r="A250" s="99"/>
      <c r="B250" s="15">
        <v>126605</v>
      </c>
      <c r="C250" s="16">
        <v>47335</v>
      </c>
      <c r="D250" s="17"/>
      <c r="E250" s="18">
        <v>71765</v>
      </c>
      <c r="F250" s="15">
        <v>429508</v>
      </c>
      <c r="G250" s="29"/>
    </row>
    <row r="251" spans="1:7" x14ac:dyDescent="0.3">
      <c r="A251" s="98" t="s">
        <v>21</v>
      </c>
      <c r="B251" s="11">
        <v>3.5999999999999997E-2</v>
      </c>
      <c r="C251" s="12">
        <v>4.2999999999999997E-2</v>
      </c>
      <c r="D251" s="13"/>
      <c r="E251" s="14">
        <v>8.1000000000000003E-2</v>
      </c>
      <c r="F251" s="11">
        <v>0.13500000000000001</v>
      </c>
      <c r="G251" s="28"/>
    </row>
    <row r="252" spans="1:7" x14ac:dyDescent="0.3">
      <c r="A252" s="99"/>
      <c r="B252" s="15">
        <v>18808</v>
      </c>
      <c r="C252" s="16">
        <v>7859</v>
      </c>
      <c r="D252" s="17"/>
      <c r="E252" s="18">
        <v>18692</v>
      </c>
      <c r="F252" s="15">
        <v>157657</v>
      </c>
      <c r="G252" s="29"/>
    </row>
  </sheetData>
  <mergeCells count="103">
    <mergeCell ref="A241:A242"/>
    <mergeCell ref="A243:A244"/>
    <mergeCell ref="A245:A246"/>
    <mergeCell ref="A247:A248"/>
    <mergeCell ref="A249:A250"/>
    <mergeCell ref="A251:A252"/>
    <mergeCell ref="A209:A210"/>
    <mergeCell ref="A211:A212"/>
    <mergeCell ref="A213:A214"/>
    <mergeCell ref="A215:A216"/>
    <mergeCell ref="A217:A218"/>
    <mergeCell ref="A239:A240"/>
    <mergeCell ref="A222:A223"/>
    <mergeCell ref="A224:A225"/>
    <mergeCell ref="A226:A227"/>
    <mergeCell ref="A228:A229"/>
    <mergeCell ref="A230:A231"/>
    <mergeCell ref="A232:A233"/>
    <mergeCell ref="A234:A235"/>
    <mergeCell ref="A194:A195"/>
    <mergeCell ref="A196:A197"/>
    <mergeCell ref="A198:A199"/>
    <mergeCell ref="A200:A201"/>
    <mergeCell ref="A205:A206"/>
    <mergeCell ref="A207:A208"/>
    <mergeCell ref="A179:A180"/>
    <mergeCell ref="A181:A182"/>
    <mergeCell ref="A186:A187"/>
    <mergeCell ref="A188:A189"/>
    <mergeCell ref="A190:A191"/>
    <mergeCell ref="A192:A193"/>
    <mergeCell ref="A164:A165"/>
    <mergeCell ref="A166:A167"/>
    <mergeCell ref="A168:A169"/>
    <mergeCell ref="A170:A171"/>
    <mergeCell ref="A175:A176"/>
    <mergeCell ref="A177:A178"/>
    <mergeCell ref="A149:A150"/>
    <mergeCell ref="A151:A152"/>
    <mergeCell ref="A153:A154"/>
    <mergeCell ref="A158:A159"/>
    <mergeCell ref="A160:A161"/>
    <mergeCell ref="A162:A163"/>
    <mergeCell ref="A134:A135"/>
    <mergeCell ref="A136:A137"/>
    <mergeCell ref="A141:A142"/>
    <mergeCell ref="A143:A144"/>
    <mergeCell ref="A145:A146"/>
    <mergeCell ref="A147:A148"/>
    <mergeCell ref="A119:A120"/>
    <mergeCell ref="A124:A125"/>
    <mergeCell ref="A126:A127"/>
    <mergeCell ref="A128:A129"/>
    <mergeCell ref="A130:A131"/>
    <mergeCell ref="A132:A133"/>
    <mergeCell ref="A107:A108"/>
    <mergeCell ref="A109:A110"/>
    <mergeCell ref="A111:A112"/>
    <mergeCell ref="A113:A114"/>
    <mergeCell ref="A115:A116"/>
    <mergeCell ref="A117:A118"/>
    <mergeCell ref="A92:A93"/>
    <mergeCell ref="A94:A95"/>
    <mergeCell ref="A96:A97"/>
    <mergeCell ref="A98:A99"/>
    <mergeCell ref="A100:A101"/>
    <mergeCell ref="A102:A103"/>
    <mergeCell ref="A77:A78"/>
    <mergeCell ref="A79:A80"/>
    <mergeCell ref="A81:A82"/>
    <mergeCell ref="A83:A84"/>
    <mergeCell ref="A85:A86"/>
    <mergeCell ref="A90:A91"/>
    <mergeCell ref="A62:A63"/>
    <mergeCell ref="A64:A65"/>
    <mergeCell ref="A66:A67"/>
    <mergeCell ref="A68:A69"/>
    <mergeCell ref="A73:A74"/>
    <mergeCell ref="A75:A76"/>
    <mergeCell ref="A47:A48"/>
    <mergeCell ref="A49:A50"/>
    <mergeCell ref="A51:A52"/>
    <mergeCell ref="A56:A57"/>
    <mergeCell ref="A58:A59"/>
    <mergeCell ref="A60:A61"/>
    <mergeCell ref="A32:A33"/>
    <mergeCell ref="A34:A35"/>
    <mergeCell ref="A39:A40"/>
    <mergeCell ref="A41:A42"/>
    <mergeCell ref="A43:A44"/>
    <mergeCell ref="A45:A46"/>
    <mergeCell ref="A17:A18"/>
    <mergeCell ref="A22:A23"/>
    <mergeCell ref="A24:A25"/>
    <mergeCell ref="A26:A27"/>
    <mergeCell ref="A28:A29"/>
    <mergeCell ref="A30:A31"/>
    <mergeCell ref="A5:A6"/>
    <mergeCell ref="A7:A8"/>
    <mergeCell ref="A9:A10"/>
    <mergeCell ref="A11:A12"/>
    <mergeCell ref="A13:A14"/>
    <mergeCell ref="A15:A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1AAF5-FA94-4E81-9866-C39A304FC1D8}">
  <dimension ref="A1:I146"/>
  <sheetViews>
    <sheetView topLeftCell="A87" workbookViewId="0">
      <selection activeCell="F102" sqref="F102:F146"/>
    </sheetView>
  </sheetViews>
  <sheetFormatPr defaultColWidth="8.88671875" defaultRowHeight="14.4" x14ac:dyDescent="0.3"/>
  <cols>
    <col min="1" max="1" width="16.6640625" customWidth="1"/>
    <col min="2" max="2" width="58.88671875" bestFit="1" customWidth="1"/>
    <col min="3" max="4" width="10.6640625" style="30" customWidth="1"/>
    <col min="6" max="6" width="16.6640625" customWidth="1"/>
    <col min="7" max="7" width="58.88671875" bestFit="1" customWidth="1"/>
    <col min="8" max="9" width="10.6640625" style="30" customWidth="1"/>
  </cols>
  <sheetData>
    <row r="1" spans="1:9" ht="21" x14ac:dyDescent="0.4">
      <c r="A1" s="1" t="s">
        <v>30</v>
      </c>
    </row>
    <row r="2" spans="1:9" ht="15" customHeight="1" x14ac:dyDescent="0.4">
      <c r="A2" s="1"/>
    </row>
    <row r="3" spans="1:9" ht="18" x14ac:dyDescent="0.35">
      <c r="A3" s="106" t="s">
        <v>31</v>
      </c>
      <c r="B3" s="106"/>
      <c r="C3" s="106"/>
      <c r="D3" s="106"/>
      <c r="F3" s="106" t="s">
        <v>32</v>
      </c>
      <c r="G3" s="106"/>
      <c r="H3" s="106"/>
      <c r="I3" s="106"/>
    </row>
    <row r="4" spans="1:9" ht="14.4" customHeight="1" x14ac:dyDescent="0.3">
      <c r="A4" s="3" t="s">
        <v>88</v>
      </c>
      <c r="B4" s="3"/>
      <c r="C4" s="3"/>
      <c r="D4" s="3"/>
      <c r="F4" s="3" t="s">
        <v>89</v>
      </c>
      <c r="G4" s="3"/>
      <c r="H4" s="3"/>
      <c r="I4" s="3"/>
    </row>
    <row r="5" spans="1:9" s="2" customFormat="1" x14ac:dyDescent="0.3">
      <c r="A5" s="31"/>
      <c r="B5" s="32" t="s">
        <v>33</v>
      </c>
      <c r="C5" s="33" t="s">
        <v>34</v>
      </c>
      <c r="D5" s="33" t="s">
        <v>35</v>
      </c>
      <c r="F5" s="31"/>
      <c r="G5" s="33" t="s">
        <v>33</v>
      </c>
      <c r="H5" s="33" t="s">
        <v>34</v>
      </c>
      <c r="I5" s="33" t="s">
        <v>35</v>
      </c>
    </row>
    <row r="6" spans="1:9" x14ac:dyDescent="0.3">
      <c r="A6" s="107" t="s">
        <v>129</v>
      </c>
      <c r="B6" s="34" t="s">
        <v>94</v>
      </c>
      <c r="C6" s="81">
        <v>10506</v>
      </c>
      <c r="D6" s="35">
        <v>0.16</v>
      </c>
      <c r="E6" s="36"/>
      <c r="F6" s="107" t="s">
        <v>129</v>
      </c>
      <c r="G6" s="34" t="s">
        <v>94</v>
      </c>
      <c r="H6" s="81">
        <v>10108</v>
      </c>
      <c r="I6" s="35">
        <v>0.121</v>
      </c>
    </row>
    <row r="7" spans="1:9" x14ac:dyDescent="0.3">
      <c r="A7" s="108"/>
      <c r="B7" s="34" t="s">
        <v>95</v>
      </c>
      <c r="C7" s="81">
        <v>7521</v>
      </c>
      <c r="D7" s="35">
        <v>0.115</v>
      </c>
      <c r="E7" s="36"/>
      <c r="F7" s="108"/>
      <c r="G7" s="34" t="s">
        <v>96</v>
      </c>
      <c r="H7" s="81">
        <v>9797</v>
      </c>
      <c r="I7" s="35">
        <v>0.11700000000000001</v>
      </c>
    </row>
    <row r="8" spans="1:9" x14ac:dyDescent="0.3">
      <c r="A8" s="108"/>
      <c r="B8" s="34" t="s">
        <v>96</v>
      </c>
      <c r="C8" s="81">
        <v>5594</v>
      </c>
      <c r="D8" s="35">
        <v>8.5000000000000006E-2</v>
      </c>
      <c r="E8" s="36"/>
      <c r="F8" s="108"/>
      <c r="G8" s="34" t="s">
        <v>95</v>
      </c>
      <c r="H8" s="81">
        <v>8632</v>
      </c>
      <c r="I8" s="35">
        <v>0.10299999999999999</v>
      </c>
    </row>
    <row r="9" spans="1:9" x14ac:dyDescent="0.3">
      <c r="A9" s="108"/>
      <c r="B9" s="34" t="s">
        <v>97</v>
      </c>
      <c r="C9" s="81">
        <v>2235</v>
      </c>
      <c r="D9" s="35">
        <v>3.4000000000000002E-2</v>
      </c>
      <c r="E9" s="36"/>
      <c r="F9" s="108"/>
      <c r="G9" s="34" t="s">
        <v>102</v>
      </c>
      <c r="H9" s="81">
        <v>6451</v>
      </c>
      <c r="I9" s="35">
        <v>7.6999999999999999E-2</v>
      </c>
    </row>
    <row r="10" spans="1:9" x14ac:dyDescent="0.3">
      <c r="A10" s="108"/>
      <c r="B10" s="34" t="s">
        <v>98</v>
      </c>
      <c r="C10" s="81">
        <v>2161</v>
      </c>
      <c r="D10" s="35">
        <v>3.3000000000000002E-2</v>
      </c>
      <c r="E10" s="36"/>
      <c r="F10" s="108"/>
      <c r="G10" s="34" t="s">
        <v>83</v>
      </c>
      <c r="H10" s="81">
        <v>5294</v>
      </c>
      <c r="I10" s="35">
        <v>6.3E-2</v>
      </c>
    </row>
    <row r="11" spans="1:9" x14ac:dyDescent="0.3">
      <c r="A11" s="98" t="s">
        <v>130</v>
      </c>
      <c r="B11" s="10" t="s">
        <v>94</v>
      </c>
      <c r="C11" s="82">
        <v>14075</v>
      </c>
      <c r="D11" s="37">
        <v>0.29399999999999998</v>
      </c>
      <c r="E11" s="36"/>
      <c r="F11" s="98" t="s">
        <v>130</v>
      </c>
      <c r="G11" s="10" t="s">
        <v>96</v>
      </c>
      <c r="H11" s="82">
        <v>31579</v>
      </c>
      <c r="I11" s="37">
        <v>0.158</v>
      </c>
    </row>
    <row r="12" spans="1:9" x14ac:dyDescent="0.3">
      <c r="A12" s="99"/>
      <c r="B12" s="10" t="s">
        <v>96</v>
      </c>
      <c r="C12" s="82">
        <v>5281</v>
      </c>
      <c r="D12" s="37">
        <v>0.11</v>
      </c>
      <c r="E12" s="36"/>
      <c r="F12" s="99"/>
      <c r="G12" s="10" t="s">
        <v>94</v>
      </c>
      <c r="H12" s="82">
        <v>30374</v>
      </c>
      <c r="I12" s="37">
        <v>0.152</v>
      </c>
    </row>
    <row r="13" spans="1:9" x14ac:dyDescent="0.3">
      <c r="A13" s="99"/>
      <c r="B13" s="10" t="s">
        <v>95</v>
      </c>
      <c r="C13" s="82">
        <v>3529</v>
      </c>
      <c r="D13" s="37">
        <v>7.3999999999999996E-2</v>
      </c>
      <c r="E13" s="36"/>
      <c r="F13" s="99"/>
      <c r="G13" s="10" t="s">
        <v>83</v>
      </c>
      <c r="H13" s="82">
        <v>19357</v>
      </c>
      <c r="I13" s="37">
        <v>9.7000000000000003E-2</v>
      </c>
    </row>
    <row r="14" spans="1:9" x14ac:dyDescent="0.3">
      <c r="A14" s="99"/>
      <c r="B14" s="10" t="s">
        <v>99</v>
      </c>
      <c r="C14" s="82">
        <v>2043</v>
      </c>
      <c r="D14" s="37">
        <v>4.2999999999999997E-2</v>
      </c>
      <c r="E14" s="36"/>
      <c r="F14" s="99"/>
      <c r="G14" s="10" t="s">
        <v>102</v>
      </c>
      <c r="H14" s="82">
        <v>15844</v>
      </c>
      <c r="I14" s="37">
        <v>7.9000000000000001E-2</v>
      </c>
    </row>
    <row r="15" spans="1:9" x14ac:dyDescent="0.3">
      <c r="A15" s="99"/>
      <c r="B15" s="10" t="s">
        <v>97</v>
      </c>
      <c r="C15" s="82">
        <v>1347</v>
      </c>
      <c r="D15" s="37">
        <v>2.8000000000000001E-2</v>
      </c>
      <c r="E15" s="36"/>
      <c r="F15" s="99"/>
      <c r="G15" s="10" t="s">
        <v>95</v>
      </c>
      <c r="H15" s="82">
        <v>14147</v>
      </c>
      <c r="I15" s="37">
        <v>7.0999999999999994E-2</v>
      </c>
    </row>
    <row r="16" spans="1:9" x14ac:dyDescent="0.3">
      <c r="A16" s="107" t="s">
        <v>131</v>
      </c>
      <c r="B16" s="34" t="s">
        <v>94</v>
      </c>
      <c r="C16" s="81">
        <v>32211</v>
      </c>
      <c r="D16" s="35">
        <v>0.20599999999999999</v>
      </c>
      <c r="E16" s="36"/>
      <c r="F16" s="107" t="s">
        <v>131</v>
      </c>
      <c r="G16" s="34" t="s">
        <v>94</v>
      </c>
      <c r="H16" s="81">
        <v>33066</v>
      </c>
      <c r="I16" s="35">
        <v>0.14499999999999999</v>
      </c>
    </row>
    <row r="17" spans="1:9" x14ac:dyDescent="0.3">
      <c r="A17" s="108"/>
      <c r="B17" s="34" t="s">
        <v>95</v>
      </c>
      <c r="C17" s="81">
        <v>16368</v>
      </c>
      <c r="D17" s="35">
        <v>0.105</v>
      </c>
      <c r="E17" s="36"/>
      <c r="F17" s="108"/>
      <c r="G17" s="34" t="s">
        <v>96</v>
      </c>
      <c r="H17" s="81">
        <v>26390</v>
      </c>
      <c r="I17" s="35">
        <v>0.11600000000000001</v>
      </c>
    </row>
    <row r="18" spans="1:9" x14ac:dyDescent="0.3">
      <c r="A18" s="108"/>
      <c r="B18" s="34" t="s">
        <v>96</v>
      </c>
      <c r="C18" s="81">
        <v>13290</v>
      </c>
      <c r="D18" s="35">
        <v>8.5000000000000006E-2</v>
      </c>
      <c r="E18" s="36"/>
      <c r="F18" s="108"/>
      <c r="G18" s="34" t="s">
        <v>95</v>
      </c>
      <c r="H18" s="81">
        <v>22343</v>
      </c>
      <c r="I18" s="35">
        <v>9.8000000000000004E-2</v>
      </c>
    </row>
    <row r="19" spans="1:9" x14ac:dyDescent="0.3">
      <c r="A19" s="108"/>
      <c r="B19" s="34" t="s">
        <v>99</v>
      </c>
      <c r="C19" s="81">
        <v>5496</v>
      </c>
      <c r="D19" s="35">
        <v>3.5000000000000003E-2</v>
      </c>
      <c r="E19" s="36"/>
      <c r="F19" s="108"/>
      <c r="G19" s="34" t="s">
        <v>102</v>
      </c>
      <c r="H19" s="81">
        <v>18203</v>
      </c>
      <c r="I19" s="35">
        <v>0.08</v>
      </c>
    </row>
    <row r="20" spans="1:9" x14ac:dyDescent="0.3">
      <c r="A20" s="108"/>
      <c r="B20" s="34" t="s">
        <v>97</v>
      </c>
      <c r="C20" s="81">
        <v>4896</v>
      </c>
      <c r="D20" s="35">
        <v>3.1E-2</v>
      </c>
      <c r="E20" s="36"/>
      <c r="F20" s="108"/>
      <c r="G20" s="34" t="s">
        <v>83</v>
      </c>
      <c r="H20" s="81">
        <v>14930</v>
      </c>
      <c r="I20" s="35">
        <v>6.5000000000000002E-2</v>
      </c>
    </row>
    <row r="21" spans="1:9" x14ac:dyDescent="0.3">
      <c r="A21" s="98" t="s">
        <v>132</v>
      </c>
      <c r="B21" s="10" t="s">
        <v>94</v>
      </c>
      <c r="C21" s="82">
        <v>54687</v>
      </c>
      <c r="D21" s="37">
        <v>0.30299999999999999</v>
      </c>
      <c r="E21" s="36"/>
      <c r="F21" s="98" t="s">
        <v>132</v>
      </c>
      <c r="G21" s="10" t="s">
        <v>94</v>
      </c>
      <c r="H21" s="82">
        <v>76502</v>
      </c>
      <c r="I21" s="37">
        <v>0.14799999999999999</v>
      </c>
    </row>
    <row r="22" spans="1:9" x14ac:dyDescent="0.3">
      <c r="A22" s="99"/>
      <c r="B22" s="10" t="s">
        <v>96</v>
      </c>
      <c r="C22" s="82">
        <v>17555</v>
      </c>
      <c r="D22" s="37">
        <v>9.7000000000000003E-2</v>
      </c>
      <c r="E22" s="36"/>
      <c r="F22" s="99"/>
      <c r="G22" s="10" t="s">
        <v>96</v>
      </c>
      <c r="H22" s="82">
        <v>74073</v>
      </c>
      <c r="I22" s="37">
        <v>0.14399999999999999</v>
      </c>
    </row>
    <row r="23" spans="1:9" x14ac:dyDescent="0.3">
      <c r="A23" s="99"/>
      <c r="B23" s="10" t="s">
        <v>95</v>
      </c>
      <c r="C23" s="82">
        <v>15721</v>
      </c>
      <c r="D23" s="37">
        <v>8.6999999999999994E-2</v>
      </c>
      <c r="E23" s="36"/>
      <c r="F23" s="99"/>
      <c r="G23" s="10" t="s">
        <v>83</v>
      </c>
      <c r="H23" s="82">
        <v>44991</v>
      </c>
      <c r="I23" s="37">
        <v>8.6999999999999994E-2</v>
      </c>
    </row>
    <row r="24" spans="1:9" x14ac:dyDescent="0.3">
      <c r="A24" s="99"/>
      <c r="B24" s="10" t="s">
        <v>99</v>
      </c>
      <c r="C24" s="82">
        <v>6870</v>
      </c>
      <c r="D24" s="37">
        <v>3.7999999999999999E-2</v>
      </c>
      <c r="E24" s="36"/>
      <c r="F24" s="99"/>
      <c r="G24" s="10" t="s">
        <v>95</v>
      </c>
      <c r="H24" s="82">
        <v>41792</v>
      </c>
      <c r="I24" s="37">
        <v>8.1000000000000003E-2</v>
      </c>
    </row>
    <row r="25" spans="1:9" x14ac:dyDescent="0.3">
      <c r="A25" s="99"/>
      <c r="B25" s="10" t="s">
        <v>97</v>
      </c>
      <c r="C25" s="82">
        <v>5114</v>
      </c>
      <c r="D25" s="37">
        <v>2.8000000000000001E-2</v>
      </c>
      <c r="E25" s="36"/>
      <c r="F25" s="99"/>
      <c r="G25" s="10" t="s">
        <v>102</v>
      </c>
      <c r="H25" s="82">
        <v>41068</v>
      </c>
      <c r="I25" s="37">
        <v>0.08</v>
      </c>
    </row>
    <row r="26" spans="1:9" x14ac:dyDescent="0.3">
      <c r="A26" s="107" t="s">
        <v>133</v>
      </c>
      <c r="B26" s="34" t="s">
        <v>94</v>
      </c>
      <c r="C26" s="81">
        <v>37839</v>
      </c>
      <c r="D26" s="35">
        <v>0.22600000000000001</v>
      </c>
      <c r="E26" s="36"/>
      <c r="F26" s="107" t="s">
        <v>133</v>
      </c>
      <c r="G26" s="34" t="s">
        <v>94</v>
      </c>
      <c r="H26" s="81">
        <v>39720</v>
      </c>
      <c r="I26" s="35">
        <v>0.153</v>
      </c>
    </row>
    <row r="27" spans="1:9" x14ac:dyDescent="0.3">
      <c r="A27" s="108"/>
      <c r="B27" s="34" t="s">
        <v>95</v>
      </c>
      <c r="C27" s="81">
        <v>16140</v>
      </c>
      <c r="D27" s="35">
        <v>9.6000000000000002E-2</v>
      </c>
      <c r="E27" s="36"/>
      <c r="F27" s="108"/>
      <c r="G27" s="34" t="s">
        <v>96</v>
      </c>
      <c r="H27" s="81">
        <v>31086</v>
      </c>
      <c r="I27" s="35">
        <v>0.12</v>
      </c>
    </row>
    <row r="28" spans="1:9" x14ac:dyDescent="0.3">
      <c r="A28" s="108"/>
      <c r="B28" s="34" t="s">
        <v>96</v>
      </c>
      <c r="C28" s="81">
        <v>14870</v>
      </c>
      <c r="D28" s="35">
        <v>8.8999999999999996E-2</v>
      </c>
      <c r="E28" s="36"/>
      <c r="F28" s="108"/>
      <c r="G28" s="34" t="s">
        <v>95</v>
      </c>
      <c r="H28" s="81">
        <v>23128</v>
      </c>
      <c r="I28" s="35">
        <v>8.8999999999999996E-2</v>
      </c>
    </row>
    <row r="29" spans="1:9" x14ac:dyDescent="0.3">
      <c r="A29" s="108"/>
      <c r="B29" s="34" t="s">
        <v>99</v>
      </c>
      <c r="C29" s="81">
        <v>6257</v>
      </c>
      <c r="D29" s="35">
        <v>3.6999999999999998E-2</v>
      </c>
      <c r="E29" s="36"/>
      <c r="F29" s="108"/>
      <c r="G29" s="34" t="s">
        <v>102</v>
      </c>
      <c r="H29" s="81">
        <v>21425</v>
      </c>
      <c r="I29" s="35">
        <v>8.2000000000000003E-2</v>
      </c>
    </row>
    <row r="30" spans="1:9" x14ac:dyDescent="0.3">
      <c r="A30" s="108"/>
      <c r="B30" s="34" t="s">
        <v>98</v>
      </c>
      <c r="C30" s="81">
        <v>4970</v>
      </c>
      <c r="D30" s="35">
        <v>0.03</v>
      </c>
      <c r="E30" s="36"/>
      <c r="F30" s="108"/>
      <c r="G30" s="34" t="s">
        <v>83</v>
      </c>
      <c r="H30" s="81">
        <v>18748</v>
      </c>
      <c r="I30" s="35">
        <v>7.1999999999999995E-2</v>
      </c>
    </row>
    <row r="31" spans="1:9" x14ac:dyDescent="0.3">
      <c r="A31" s="98" t="s">
        <v>134</v>
      </c>
      <c r="B31" s="10" t="s">
        <v>94</v>
      </c>
      <c r="C31" s="82">
        <v>49059</v>
      </c>
      <c r="D31" s="37">
        <v>0.28999999999999998</v>
      </c>
      <c r="E31" s="36"/>
      <c r="F31" s="98" t="s">
        <v>134</v>
      </c>
      <c r="G31" s="10" t="s">
        <v>94</v>
      </c>
      <c r="H31" s="82">
        <v>69848</v>
      </c>
      <c r="I31" s="37">
        <v>0.14399999999999999</v>
      </c>
    </row>
    <row r="32" spans="1:9" x14ac:dyDescent="0.3">
      <c r="A32" s="99"/>
      <c r="B32" s="10" t="s">
        <v>96</v>
      </c>
      <c r="C32" s="82">
        <v>15975</v>
      </c>
      <c r="D32" s="37">
        <v>9.4E-2</v>
      </c>
      <c r="E32" s="36"/>
      <c r="F32" s="99"/>
      <c r="G32" s="10" t="s">
        <v>96</v>
      </c>
      <c r="H32" s="82">
        <v>69377</v>
      </c>
      <c r="I32" s="37">
        <v>0.14299999999999999</v>
      </c>
    </row>
    <row r="33" spans="1:9" x14ac:dyDescent="0.3">
      <c r="A33" s="99"/>
      <c r="B33" s="10" t="s">
        <v>95</v>
      </c>
      <c r="C33" s="82">
        <v>15949</v>
      </c>
      <c r="D33" s="37">
        <v>9.4E-2</v>
      </c>
      <c r="E33" s="36"/>
      <c r="F33" s="99"/>
      <c r="G33" s="10" t="s">
        <v>83</v>
      </c>
      <c r="H33" s="82">
        <v>41173</v>
      </c>
      <c r="I33" s="37">
        <v>8.5000000000000006E-2</v>
      </c>
    </row>
    <row r="34" spans="1:9" x14ac:dyDescent="0.3">
      <c r="A34" s="99"/>
      <c r="B34" s="10" t="s">
        <v>99</v>
      </c>
      <c r="C34" s="82">
        <v>6109</v>
      </c>
      <c r="D34" s="37">
        <v>3.5999999999999997E-2</v>
      </c>
      <c r="E34" s="36"/>
      <c r="F34" s="99"/>
      <c r="G34" s="10" t="s">
        <v>95</v>
      </c>
      <c r="H34" s="82">
        <v>41007</v>
      </c>
      <c r="I34" s="37">
        <v>8.5000000000000006E-2</v>
      </c>
    </row>
    <row r="35" spans="1:9" x14ac:dyDescent="0.3">
      <c r="A35" s="99"/>
      <c r="B35" s="10" t="s">
        <v>97</v>
      </c>
      <c r="C35" s="82">
        <v>5336</v>
      </c>
      <c r="D35" s="37">
        <v>3.2000000000000001E-2</v>
      </c>
      <c r="E35" s="36"/>
      <c r="F35" s="99"/>
      <c r="G35" s="10" t="s">
        <v>102</v>
      </c>
      <c r="H35" s="82">
        <v>37846</v>
      </c>
      <c r="I35" s="37">
        <v>7.8E-2</v>
      </c>
    </row>
    <row r="36" spans="1:9" x14ac:dyDescent="0.3">
      <c r="A36" s="107" t="s">
        <v>12</v>
      </c>
      <c r="B36" s="34" t="s">
        <v>94</v>
      </c>
      <c r="C36" s="81">
        <v>24297</v>
      </c>
      <c r="D36" s="35">
        <v>0.217</v>
      </c>
      <c r="E36" s="36"/>
      <c r="F36" s="107" t="s">
        <v>12</v>
      </c>
      <c r="G36" s="34" t="s">
        <v>94</v>
      </c>
      <c r="H36" s="81">
        <v>32014</v>
      </c>
      <c r="I36" s="35">
        <v>0.14699999999999999</v>
      </c>
    </row>
    <row r="37" spans="1:9" x14ac:dyDescent="0.3">
      <c r="A37" s="108"/>
      <c r="B37" s="34" t="s">
        <v>95</v>
      </c>
      <c r="C37" s="81">
        <v>10554</v>
      </c>
      <c r="D37" s="35">
        <v>9.4E-2</v>
      </c>
      <c r="E37" s="36"/>
      <c r="F37" s="108"/>
      <c r="G37" s="34" t="s">
        <v>96</v>
      </c>
      <c r="H37" s="81">
        <v>27418</v>
      </c>
      <c r="I37" s="35">
        <v>0.126</v>
      </c>
    </row>
    <row r="38" spans="1:9" x14ac:dyDescent="0.3">
      <c r="A38" s="108"/>
      <c r="B38" s="34" t="s">
        <v>96</v>
      </c>
      <c r="C38" s="81">
        <v>10535</v>
      </c>
      <c r="D38" s="35">
        <v>9.4E-2</v>
      </c>
      <c r="E38" s="36"/>
      <c r="F38" s="108"/>
      <c r="G38" s="34" t="s">
        <v>83</v>
      </c>
      <c r="H38" s="81">
        <v>17949</v>
      </c>
      <c r="I38" s="35">
        <v>8.3000000000000004E-2</v>
      </c>
    </row>
    <row r="39" spans="1:9" x14ac:dyDescent="0.3">
      <c r="A39" s="108"/>
      <c r="B39" s="34" t="s">
        <v>99</v>
      </c>
      <c r="C39" s="81">
        <v>3954</v>
      </c>
      <c r="D39" s="35">
        <v>3.5000000000000003E-2</v>
      </c>
      <c r="E39" s="36"/>
      <c r="F39" s="108"/>
      <c r="G39" s="34" t="s">
        <v>102</v>
      </c>
      <c r="H39" s="81">
        <v>17634</v>
      </c>
      <c r="I39" s="35">
        <v>8.1000000000000003E-2</v>
      </c>
    </row>
    <row r="40" spans="1:9" x14ac:dyDescent="0.3">
      <c r="A40" s="108"/>
      <c r="B40" s="34" t="s">
        <v>100</v>
      </c>
      <c r="C40" s="81">
        <v>3300</v>
      </c>
      <c r="D40" s="35">
        <v>2.9000000000000001E-2</v>
      </c>
      <c r="E40" s="36"/>
      <c r="F40" s="108"/>
      <c r="G40" s="34" t="s">
        <v>95</v>
      </c>
      <c r="H40" s="81">
        <v>16860</v>
      </c>
      <c r="I40" s="35">
        <v>7.8E-2</v>
      </c>
    </row>
    <row r="41" spans="1:9" x14ac:dyDescent="0.3">
      <c r="A41" s="98" t="s">
        <v>13</v>
      </c>
      <c r="B41" s="10" t="s">
        <v>94</v>
      </c>
      <c r="C41" s="82">
        <v>39162</v>
      </c>
      <c r="D41" s="37">
        <v>0.28399999999999997</v>
      </c>
      <c r="E41" s="36"/>
      <c r="F41" s="98" t="s">
        <v>13</v>
      </c>
      <c r="G41" s="10" t="s">
        <v>94</v>
      </c>
      <c r="H41" s="82">
        <v>53321</v>
      </c>
      <c r="I41" s="37">
        <v>0.155</v>
      </c>
    </row>
    <row r="42" spans="1:9" x14ac:dyDescent="0.3">
      <c r="A42" s="99"/>
      <c r="B42" s="10" t="s">
        <v>96</v>
      </c>
      <c r="C42" s="82">
        <v>13020</v>
      </c>
      <c r="D42" s="37">
        <v>9.4E-2</v>
      </c>
      <c r="E42" s="36"/>
      <c r="F42" s="99"/>
      <c r="G42" s="10" t="s">
        <v>96</v>
      </c>
      <c r="H42" s="82">
        <v>49654</v>
      </c>
      <c r="I42" s="37">
        <v>0.14399999999999999</v>
      </c>
    </row>
    <row r="43" spans="1:9" x14ac:dyDescent="0.3">
      <c r="A43" s="99"/>
      <c r="B43" s="10" t="s">
        <v>95</v>
      </c>
      <c r="C43" s="82">
        <v>11071</v>
      </c>
      <c r="D43" s="37">
        <v>0.08</v>
      </c>
      <c r="E43" s="36"/>
      <c r="F43" s="99"/>
      <c r="G43" s="10" t="s">
        <v>83</v>
      </c>
      <c r="H43" s="82">
        <v>28977</v>
      </c>
      <c r="I43" s="37">
        <v>8.4000000000000005E-2</v>
      </c>
    </row>
    <row r="44" spans="1:9" x14ac:dyDescent="0.3">
      <c r="A44" s="99"/>
      <c r="B44" s="10" t="s">
        <v>99</v>
      </c>
      <c r="C44" s="82">
        <v>5797</v>
      </c>
      <c r="D44" s="37">
        <v>4.2000000000000003E-2</v>
      </c>
      <c r="E44" s="36"/>
      <c r="F44" s="99"/>
      <c r="G44" s="10" t="s">
        <v>102</v>
      </c>
      <c r="H44" s="82">
        <v>27855</v>
      </c>
      <c r="I44" s="37">
        <v>8.1000000000000003E-2</v>
      </c>
    </row>
    <row r="45" spans="1:9" x14ac:dyDescent="0.3">
      <c r="A45" s="99"/>
      <c r="B45" s="10" t="s">
        <v>101</v>
      </c>
      <c r="C45" s="82">
        <v>3759</v>
      </c>
      <c r="D45" s="37">
        <v>2.7E-2</v>
      </c>
      <c r="E45" s="36"/>
      <c r="F45" s="99"/>
      <c r="G45" s="10" t="s">
        <v>95</v>
      </c>
      <c r="H45" s="82">
        <v>27406</v>
      </c>
      <c r="I45" s="37">
        <v>0.08</v>
      </c>
    </row>
    <row r="46" spans="1:9" x14ac:dyDescent="0.3">
      <c r="A46" s="107" t="s">
        <v>14</v>
      </c>
      <c r="B46" s="34" t="s">
        <v>94</v>
      </c>
      <c r="C46" s="81">
        <v>23439</v>
      </c>
      <c r="D46" s="35">
        <v>0.27</v>
      </c>
      <c r="E46" s="36"/>
      <c r="F46" s="107" t="s">
        <v>14</v>
      </c>
      <c r="G46" s="34" t="s">
        <v>94</v>
      </c>
      <c r="H46" s="81">
        <v>24233</v>
      </c>
      <c r="I46" s="35">
        <v>0.13300000000000001</v>
      </c>
    </row>
    <row r="47" spans="1:9" x14ac:dyDescent="0.3">
      <c r="A47" s="108"/>
      <c r="B47" s="34" t="s">
        <v>95</v>
      </c>
      <c r="C47" s="81">
        <v>10464</v>
      </c>
      <c r="D47" s="35">
        <v>0.121</v>
      </c>
      <c r="E47" s="36"/>
      <c r="F47" s="108"/>
      <c r="G47" s="34" t="s">
        <v>96</v>
      </c>
      <c r="H47" s="81">
        <v>23391</v>
      </c>
      <c r="I47" s="35">
        <v>0.128</v>
      </c>
    </row>
    <row r="48" spans="1:9" x14ac:dyDescent="0.3">
      <c r="A48" s="108"/>
      <c r="B48" s="34" t="s">
        <v>96</v>
      </c>
      <c r="C48" s="81">
        <v>7290</v>
      </c>
      <c r="D48" s="35">
        <v>8.4000000000000005E-2</v>
      </c>
      <c r="E48" s="36"/>
      <c r="F48" s="108"/>
      <c r="G48" s="34" t="s">
        <v>95</v>
      </c>
      <c r="H48" s="81">
        <v>19869</v>
      </c>
      <c r="I48" s="35">
        <v>0.109</v>
      </c>
    </row>
    <row r="49" spans="1:9" x14ac:dyDescent="0.3">
      <c r="A49" s="108"/>
      <c r="B49" s="34" t="s">
        <v>97</v>
      </c>
      <c r="C49" s="81">
        <v>3633</v>
      </c>
      <c r="D49" s="35">
        <v>4.2000000000000003E-2</v>
      </c>
      <c r="E49" s="36"/>
      <c r="F49" s="108"/>
      <c r="G49" s="34" t="s">
        <v>102</v>
      </c>
      <c r="H49" s="81">
        <v>13782</v>
      </c>
      <c r="I49" s="35">
        <v>7.5999999999999998E-2</v>
      </c>
    </row>
    <row r="50" spans="1:9" x14ac:dyDescent="0.3">
      <c r="A50" s="108"/>
      <c r="B50" s="34" t="s">
        <v>98</v>
      </c>
      <c r="C50" s="81">
        <v>2650</v>
      </c>
      <c r="D50" s="35">
        <v>3.1E-2</v>
      </c>
      <c r="E50" s="36"/>
      <c r="F50" s="108"/>
      <c r="G50" s="34" t="s">
        <v>83</v>
      </c>
      <c r="H50" s="81">
        <v>12995</v>
      </c>
      <c r="I50" s="35">
        <v>7.0999999999999994E-2</v>
      </c>
    </row>
    <row r="52" spans="1:9" x14ac:dyDescent="0.3">
      <c r="A52" s="3" t="s">
        <v>90</v>
      </c>
      <c r="B52" s="3"/>
      <c r="C52" s="3"/>
      <c r="D52" s="3"/>
      <c r="F52" s="3" t="s">
        <v>91</v>
      </c>
      <c r="G52" s="4"/>
      <c r="H52" s="38"/>
      <c r="I52" s="38"/>
    </row>
    <row r="53" spans="1:9" s="2" customFormat="1" x14ac:dyDescent="0.3">
      <c r="A53" s="31"/>
      <c r="B53" s="31" t="s">
        <v>33</v>
      </c>
      <c r="C53" s="33" t="s">
        <v>34</v>
      </c>
      <c r="D53" s="33" t="s">
        <v>35</v>
      </c>
      <c r="F53" s="31"/>
      <c r="G53" s="31" t="s">
        <v>33</v>
      </c>
      <c r="H53" s="33" t="s">
        <v>34</v>
      </c>
      <c r="I53" s="33" t="s">
        <v>35</v>
      </c>
    </row>
    <row r="54" spans="1:9" x14ac:dyDescent="0.3">
      <c r="A54" s="107" t="s">
        <v>129</v>
      </c>
      <c r="B54" s="34" t="s">
        <v>94</v>
      </c>
      <c r="C54" s="81">
        <v>7362</v>
      </c>
      <c r="D54" s="35">
        <v>0.193</v>
      </c>
      <c r="F54" s="107" t="s">
        <v>129</v>
      </c>
      <c r="G54" s="34" t="s">
        <v>94</v>
      </c>
      <c r="H54" s="81">
        <v>9377</v>
      </c>
      <c r="I54" s="35">
        <v>0.158</v>
      </c>
    </row>
    <row r="55" spans="1:9" x14ac:dyDescent="0.3">
      <c r="A55" s="108"/>
      <c r="B55" s="34" t="s">
        <v>95</v>
      </c>
      <c r="C55" s="81">
        <v>3673</v>
      </c>
      <c r="D55" s="35">
        <v>9.6000000000000002E-2</v>
      </c>
      <c r="F55" s="108"/>
      <c r="G55" s="34" t="s">
        <v>96</v>
      </c>
      <c r="H55" s="81">
        <v>6095</v>
      </c>
      <c r="I55" s="35">
        <v>0.10299999999999999</v>
      </c>
    </row>
    <row r="56" spans="1:9" x14ac:dyDescent="0.3">
      <c r="A56" s="108"/>
      <c r="B56" s="34" t="s">
        <v>96</v>
      </c>
      <c r="C56" s="81">
        <v>3133</v>
      </c>
      <c r="D56" s="35">
        <v>8.2000000000000003E-2</v>
      </c>
      <c r="F56" s="108"/>
      <c r="G56" s="34" t="s">
        <v>95</v>
      </c>
      <c r="H56" s="81">
        <v>5590</v>
      </c>
      <c r="I56" s="35">
        <v>9.4E-2</v>
      </c>
    </row>
    <row r="57" spans="1:9" x14ac:dyDescent="0.3">
      <c r="A57" s="108"/>
      <c r="B57" s="34" t="s">
        <v>99</v>
      </c>
      <c r="C57" s="81">
        <v>1450</v>
      </c>
      <c r="D57" s="35">
        <v>3.7999999999999999E-2</v>
      </c>
      <c r="F57" s="108"/>
      <c r="G57" s="34" t="s">
        <v>102</v>
      </c>
      <c r="H57" s="81">
        <v>4521</v>
      </c>
      <c r="I57" s="35">
        <v>7.5999999999999998E-2</v>
      </c>
    </row>
    <row r="58" spans="1:9" x14ac:dyDescent="0.3">
      <c r="A58" s="108"/>
      <c r="B58" s="34" t="s">
        <v>98</v>
      </c>
      <c r="C58" s="81">
        <v>1395</v>
      </c>
      <c r="D58" s="35">
        <v>3.6999999999999998E-2</v>
      </c>
      <c r="F58" s="108"/>
      <c r="G58" s="34" t="s">
        <v>83</v>
      </c>
      <c r="H58" s="81">
        <v>3352</v>
      </c>
      <c r="I58" s="35">
        <v>5.7000000000000002E-2</v>
      </c>
    </row>
    <row r="59" spans="1:9" x14ac:dyDescent="0.3">
      <c r="A59" s="98" t="s">
        <v>130</v>
      </c>
      <c r="B59" s="10" t="s">
        <v>94</v>
      </c>
      <c r="C59" s="82">
        <v>22582</v>
      </c>
      <c r="D59" s="37">
        <v>0.33200000000000002</v>
      </c>
      <c r="F59" s="98" t="s">
        <v>130</v>
      </c>
      <c r="G59" s="10" t="s">
        <v>94</v>
      </c>
      <c r="H59" s="82">
        <v>45501</v>
      </c>
      <c r="I59" s="37">
        <v>0.16200000000000001</v>
      </c>
    </row>
    <row r="60" spans="1:9" x14ac:dyDescent="0.3">
      <c r="A60" s="99"/>
      <c r="B60" s="10" t="s">
        <v>96</v>
      </c>
      <c r="C60" s="82">
        <v>6688</v>
      </c>
      <c r="D60" s="37">
        <v>9.8000000000000004E-2</v>
      </c>
      <c r="F60" s="99"/>
      <c r="G60" s="10" t="s">
        <v>96</v>
      </c>
      <c r="H60" s="82">
        <v>40620</v>
      </c>
      <c r="I60" s="37">
        <v>0.14499999999999999</v>
      </c>
    </row>
    <row r="61" spans="1:9" x14ac:dyDescent="0.3">
      <c r="A61" s="99"/>
      <c r="B61" s="10" t="s">
        <v>95</v>
      </c>
      <c r="C61" s="82">
        <v>3891</v>
      </c>
      <c r="D61" s="37">
        <v>5.7000000000000002E-2</v>
      </c>
      <c r="F61" s="99"/>
      <c r="G61" s="10" t="s">
        <v>83</v>
      </c>
      <c r="H61" s="82">
        <v>23739</v>
      </c>
      <c r="I61" s="37">
        <v>8.5000000000000006E-2</v>
      </c>
    </row>
    <row r="62" spans="1:9" x14ac:dyDescent="0.3">
      <c r="A62" s="99"/>
      <c r="B62" s="10" t="s">
        <v>99</v>
      </c>
      <c r="C62" s="82">
        <v>3349</v>
      </c>
      <c r="D62" s="37">
        <v>4.9000000000000002E-2</v>
      </c>
      <c r="F62" s="99"/>
      <c r="G62" s="10" t="s">
        <v>102</v>
      </c>
      <c r="H62" s="82">
        <v>20543</v>
      </c>
      <c r="I62" s="37">
        <v>7.2999999999999995E-2</v>
      </c>
    </row>
    <row r="63" spans="1:9" x14ac:dyDescent="0.3">
      <c r="A63" s="99"/>
      <c r="B63" s="10" t="s">
        <v>100</v>
      </c>
      <c r="C63" s="82">
        <v>2234</v>
      </c>
      <c r="D63" s="37">
        <v>3.3000000000000002E-2</v>
      </c>
      <c r="F63" s="99"/>
      <c r="G63" s="10" t="s">
        <v>95</v>
      </c>
      <c r="H63" s="82">
        <v>18817</v>
      </c>
      <c r="I63" s="37">
        <v>6.7000000000000004E-2</v>
      </c>
    </row>
    <row r="64" spans="1:9" x14ac:dyDescent="0.3">
      <c r="A64" s="107" t="s">
        <v>131</v>
      </c>
      <c r="B64" s="34" t="s">
        <v>94</v>
      </c>
      <c r="C64" s="81">
        <v>23547</v>
      </c>
      <c r="D64" s="35">
        <v>0.24</v>
      </c>
      <c r="F64" s="107" t="s">
        <v>131</v>
      </c>
      <c r="G64" s="34" t="s">
        <v>94</v>
      </c>
      <c r="H64" s="81">
        <v>24806</v>
      </c>
      <c r="I64" s="35">
        <v>0.158</v>
      </c>
    </row>
    <row r="65" spans="1:9" x14ac:dyDescent="0.3">
      <c r="A65" s="108"/>
      <c r="B65" s="34" t="s">
        <v>96</v>
      </c>
      <c r="C65" s="81">
        <v>8106</v>
      </c>
      <c r="D65" s="35">
        <v>8.3000000000000004E-2</v>
      </c>
      <c r="F65" s="108"/>
      <c r="G65" s="34" t="s">
        <v>96</v>
      </c>
      <c r="H65" s="81">
        <v>16279</v>
      </c>
      <c r="I65" s="35">
        <v>0.10299999999999999</v>
      </c>
    </row>
    <row r="66" spans="1:9" x14ac:dyDescent="0.3">
      <c r="A66" s="108"/>
      <c r="B66" s="34" t="s">
        <v>95</v>
      </c>
      <c r="C66" s="81">
        <v>8085</v>
      </c>
      <c r="D66" s="35">
        <v>8.3000000000000004E-2</v>
      </c>
      <c r="F66" s="108"/>
      <c r="G66" s="34" t="s">
        <v>95</v>
      </c>
      <c r="H66" s="81">
        <v>13913</v>
      </c>
      <c r="I66" s="35">
        <v>8.7999999999999995E-2</v>
      </c>
    </row>
    <row r="67" spans="1:9" x14ac:dyDescent="0.3">
      <c r="A67" s="108"/>
      <c r="B67" s="34" t="s">
        <v>99</v>
      </c>
      <c r="C67" s="81">
        <v>3997</v>
      </c>
      <c r="D67" s="35">
        <v>4.1000000000000002E-2</v>
      </c>
      <c r="F67" s="108"/>
      <c r="G67" s="34" t="s">
        <v>102</v>
      </c>
      <c r="H67" s="81">
        <v>12506</v>
      </c>
      <c r="I67" s="35">
        <v>7.9000000000000001E-2</v>
      </c>
    </row>
    <row r="68" spans="1:9" x14ac:dyDescent="0.3">
      <c r="A68" s="108"/>
      <c r="B68" s="34" t="s">
        <v>98</v>
      </c>
      <c r="C68" s="81">
        <v>3168</v>
      </c>
      <c r="D68" s="35">
        <v>3.2000000000000001E-2</v>
      </c>
      <c r="F68" s="108"/>
      <c r="G68" s="34" t="s">
        <v>83</v>
      </c>
      <c r="H68" s="81">
        <v>9506</v>
      </c>
      <c r="I68" s="35">
        <v>0.06</v>
      </c>
    </row>
    <row r="69" spans="1:9" x14ac:dyDescent="0.3">
      <c r="A69" s="98" t="s">
        <v>132</v>
      </c>
      <c r="B69" s="10" t="s">
        <v>94</v>
      </c>
      <c r="C69" s="82">
        <v>62207</v>
      </c>
      <c r="D69" s="37">
        <v>0.33200000000000002</v>
      </c>
      <c r="F69" s="98" t="s">
        <v>132</v>
      </c>
      <c r="G69" s="10" t="s">
        <v>94</v>
      </c>
      <c r="H69" s="82">
        <v>107010</v>
      </c>
      <c r="I69" s="37">
        <v>0.16200000000000001</v>
      </c>
    </row>
    <row r="70" spans="1:9" x14ac:dyDescent="0.3">
      <c r="A70" s="99"/>
      <c r="B70" s="10" t="s">
        <v>96</v>
      </c>
      <c r="C70" s="82">
        <v>17582</v>
      </c>
      <c r="D70" s="37">
        <v>9.4E-2</v>
      </c>
      <c r="F70" s="99"/>
      <c r="G70" s="10" t="s">
        <v>96</v>
      </c>
      <c r="H70" s="82">
        <v>86376</v>
      </c>
      <c r="I70" s="37">
        <v>0.13100000000000001</v>
      </c>
    </row>
    <row r="71" spans="1:9" x14ac:dyDescent="0.3">
      <c r="A71" s="99"/>
      <c r="B71" s="10" t="s">
        <v>95</v>
      </c>
      <c r="C71" s="82">
        <v>14007</v>
      </c>
      <c r="D71" s="37">
        <v>7.4999999999999997E-2</v>
      </c>
      <c r="F71" s="99"/>
      <c r="G71" s="10" t="s">
        <v>83</v>
      </c>
      <c r="H71" s="82">
        <v>51619</v>
      </c>
      <c r="I71" s="37">
        <v>7.8E-2</v>
      </c>
    </row>
    <row r="72" spans="1:9" x14ac:dyDescent="0.3">
      <c r="A72" s="99"/>
      <c r="B72" s="10" t="s">
        <v>99</v>
      </c>
      <c r="C72" s="82">
        <v>9141</v>
      </c>
      <c r="D72" s="37">
        <v>4.9000000000000002E-2</v>
      </c>
      <c r="F72" s="99"/>
      <c r="G72" s="10" t="s">
        <v>102</v>
      </c>
      <c r="H72" s="82">
        <v>50129</v>
      </c>
      <c r="I72" s="37">
        <v>7.5999999999999998E-2</v>
      </c>
    </row>
    <row r="73" spans="1:9" x14ac:dyDescent="0.3">
      <c r="A73" s="99"/>
      <c r="B73" s="10" t="s">
        <v>100</v>
      </c>
      <c r="C73" s="82">
        <v>5737</v>
      </c>
      <c r="D73" s="37">
        <v>3.1E-2</v>
      </c>
      <c r="F73" s="99"/>
      <c r="G73" s="10" t="s">
        <v>95</v>
      </c>
      <c r="H73" s="82">
        <v>48984</v>
      </c>
      <c r="I73" s="37">
        <v>7.3999999999999996E-2</v>
      </c>
    </row>
    <row r="74" spans="1:9" x14ac:dyDescent="0.3">
      <c r="A74" s="107" t="s">
        <v>133</v>
      </c>
      <c r="B74" s="34" t="s">
        <v>94</v>
      </c>
      <c r="C74" s="81">
        <v>33286</v>
      </c>
      <c r="D74" s="35">
        <v>0.26500000000000001</v>
      </c>
      <c r="F74" s="107" t="s">
        <v>133</v>
      </c>
      <c r="G74" s="34" t="s">
        <v>94</v>
      </c>
      <c r="H74" s="81">
        <v>39431</v>
      </c>
      <c r="I74" s="35">
        <v>0.16200000000000001</v>
      </c>
    </row>
    <row r="75" spans="1:9" x14ac:dyDescent="0.3">
      <c r="A75" s="108"/>
      <c r="B75" s="34" t="s">
        <v>96</v>
      </c>
      <c r="C75" s="81">
        <v>11071</v>
      </c>
      <c r="D75" s="35">
        <v>8.7999999999999995E-2</v>
      </c>
      <c r="F75" s="108"/>
      <c r="G75" s="34" t="s">
        <v>96</v>
      </c>
      <c r="H75" s="81">
        <v>27040</v>
      </c>
      <c r="I75" s="35">
        <v>0.111</v>
      </c>
    </row>
    <row r="76" spans="1:9" x14ac:dyDescent="0.3">
      <c r="A76" s="108"/>
      <c r="B76" s="34" t="s">
        <v>95</v>
      </c>
      <c r="C76" s="81">
        <v>9938</v>
      </c>
      <c r="D76" s="35">
        <v>7.9000000000000001E-2</v>
      </c>
      <c r="F76" s="108"/>
      <c r="G76" s="34" t="s">
        <v>102</v>
      </c>
      <c r="H76" s="81">
        <v>20296</v>
      </c>
      <c r="I76" s="35">
        <v>8.3000000000000004E-2</v>
      </c>
    </row>
    <row r="77" spans="1:9" x14ac:dyDescent="0.3">
      <c r="A77" s="108"/>
      <c r="B77" s="34" t="s">
        <v>99</v>
      </c>
      <c r="C77" s="81">
        <v>6034</v>
      </c>
      <c r="D77" s="35">
        <v>4.8000000000000001E-2</v>
      </c>
      <c r="F77" s="108"/>
      <c r="G77" s="34" t="s">
        <v>95</v>
      </c>
      <c r="H77" s="81">
        <v>19935</v>
      </c>
      <c r="I77" s="35">
        <v>8.2000000000000003E-2</v>
      </c>
    </row>
    <row r="78" spans="1:9" x14ac:dyDescent="0.3">
      <c r="A78" s="108"/>
      <c r="B78" s="34" t="s">
        <v>100</v>
      </c>
      <c r="C78" s="81">
        <v>4290</v>
      </c>
      <c r="D78" s="35">
        <v>3.4000000000000002E-2</v>
      </c>
      <c r="F78" s="108"/>
      <c r="G78" s="34" t="s">
        <v>83</v>
      </c>
      <c r="H78" s="81">
        <v>15865</v>
      </c>
      <c r="I78" s="35">
        <v>6.5000000000000002E-2</v>
      </c>
    </row>
    <row r="79" spans="1:9" x14ac:dyDescent="0.3">
      <c r="A79" s="98" t="s">
        <v>134</v>
      </c>
      <c r="B79" s="10" t="s">
        <v>94</v>
      </c>
      <c r="C79" s="82">
        <v>52468</v>
      </c>
      <c r="D79" s="37">
        <v>0.32900000000000001</v>
      </c>
      <c r="F79" s="98" t="s">
        <v>134</v>
      </c>
      <c r="G79" s="10" t="s">
        <v>94</v>
      </c>
      <c r="H79" s="82">
        <v>92385</v>
      </c>
      <c r="I79" s="37">
        <v>0.161</v>
      </c>
    </row>
    <row r="80" spans="1:9" x14ac:dyDescent="0.3">
      <c r="A80" s="99"/>
      <c r="B80" s="10" t="s">
        <v>96</v>
      </c>
      <c r="C80" s="82">
        <v>14617</v>
      </c>
      <c r="D80" s="37">
        <v>9.1999999999999998E-2</v>
      </c>
      <c r="F80" s="99"/>
      <c r="G80" s="10" t="s">
        <v>96</v>
      </c>
      <c r="H80" s="82">
        <v>75615</v>
      </c>
      <c r="I80" s="37">
        <v>0.13200000000000001</v>
      </c>
    </row>
    <row r="81" spans="1:9" x14ac:dyDescent="0.3">
      <c r="A81" s="99"/>
      <c r="B81" s="10" t="s">
        <v>95</v>
      </c>
      <c r="C81" s="82">
        <v>12154</v>
      </c>
      <c r="D81" s="37">
        <v>7.5999999999999998E-2</v>
      </c>
      <c r="F81" s="99"/>
      <c r="G81" s="10" t="s">
        <v>83</v>
      </c>
      <c r="H81" s="82">
        <v>45260</v>
      </c>
      <c r="I81" s="37">
        <v>7.9000000000000001E-2</v>
      </c>
    </row>
    <row r="82" spans="1:9" x14ac:dyDescent="0.3">
      <c r="A82" s="99"/>
      <c r="B82" s="10" t="s">
        <v>99</v>
      </c>
      <c r="C82" s="82">
        <v>7104</v>
      </c>
      <c r="D82" s="37">
        <v>4.4999999999999998E-2</v>
      </c>
      <c r="F82" s="99"/>
      <c r="G82" s="10" t="s">
        <v>95</v>
      </c>
      <c r="H82" s="82">
        <v>42962</v>
      </c>
      <c r="I82" s="37">
        <v>7.4999999999999997E-2</v>
      </c>
    </row>
    <row r="83" spans="1:9" x14ac:dyDescent="0.3">
      <c r="A83" s="99"/>
      <c r="B83" s="10" t="s">
        <v>100</v>
      </c>
      <c r="C83" s="82">
        <v>4597</v>
      </c>
      <c r="D83" s="37">
        <v>2.9000000000000001E-2</v>
      </c>
      <c r="F83" s="99"/>
      <c r="G83" s="10" t="s">
        <v>102</v>
      </c>
      <c r="H83" s="82">
        <v>42339</v>
      </c>
      <c r="I83" s="37">
        <v>7.3999999999999996E-2</v>
      </c>
    </row>
    <row r="84" spans="1:9" x14ac:dyDescent="0.3">
      <c r="A84" s="107" t="s">
        <v>12</v>
      </c>
      <c r="B84" s="34" t="s">
        <v>94</v>
      </c>
      <c r="C84" s="81">
        <v>21625</v>
      </c>
      <c r="D84" s="35">
        <v>0.251</v>
      </c>
      <c r="F84" s="107" t="s">
        <v>12</v>
      </c>
      <c r="G84" s="34" t="s">
        <v>94</v>
      </c>
      <c r="H84" s="81">
        <v>33678</v>
      </c>
      <c r="I84" s="35">
        <v>0.161</v>
      </c>
    </row>
    <row r="85" spans="1:9" x14ac:dyDescent="0.3">
      <c r="A85" s="108"/>
      <c r="B85" s="34" t="s">
        <v>96</v>
      </c>
      <c r="C85" s="81">
        <v>7837</v>
      </c>
      <c r="D85" s="35">
        <v>9.0999999999999998E-2</v>
      </c>
      <c r="F85" s="108"/>
      <c r="G85" s="34" t="s">
        <v>96</v>
      </c>
      <c r="H85" s="81">
        <v>24593</v>
      </c>
      <c r="I85" s="35">
        <v>0.11799999999999999</v>
      </c>
    </row>
    <row r="86" spans="1:9" x14ac:dyDescent="0.3">
      <c r="A86" s="108"/>
      <c r="B86" s="34" t="s">
        <v>95</v>
      </c>
      <c r="C86" s="81">
        <v>6812</v>
      </c>
      <c r="D86" s="35">
        <v>7.9000000000000001E-2</v>
      </c>
      <c r="F86" s="108"/>
      <c r="G86" s="34" t="s">
        <v>102</v>
      </c>
      <c r="H86" s="81">
        <v>16595</v>
      </c>
      <c r="I86" s="35">
        <v>7.9000000000000001E-2</v>
      </c>
    </row>
    <row r="87" spans="1:9" x14ac:dyDescent="0.3">
      <c r="A87" s="108"/>
      <c r="B87" s="34" t="s">
        <v>99</v>
      </c>
      <c r="C87" s="81">
        <v>4032</v>
      </c>
      <c r="D87" s="35">
        <v>4.7E-2</v>
      </c>
      <c r="F87" s="108"/>
      <c r="G87" s="34" t="s">
        <v>83</v>
      </c>
      <c r="H87" s="81">
        <v>16147</v>
      </c>
      <c r="I87" s="35">
        <v>7.6999999999999999E-2</v>
      </c>
    </row>
    <row r="88" spans="1:9" x14ac:dyDescent="0.3">
      <c r="A88" s="108"/>
      <c r="B88" s="34" t="s">
        <v>100</v>
      </c>
      <c r="C88" s="81">
        <v>3125</v>
      </c>
      <c r="D88" s="35">
        <v>3.5999999999999997E-2</v>
      </c>
      <c r="F88" s="108"/>
      <c r="G88" s="34" t="s">
        <v>95</v>
      </c>
      <c r="H88" s="81">
        <v>14129</v>
      </c>
      <c r="I88" s="35">
        <v>6.8000000000000005E-2</v>
      </c>
    </row>
    <row r="89" spans="1:9" x14ac:dyDescent="0.3">
      <c r="A89" s="98" t="s">
        <v>13</v>
      </c>
      <c r="B89" s="10" t="s">
        <v>94</v>
      </c>
      <c r="C89" s="82">
        <v>40632</v>
      </c>
      <c r="D89" s="37">
        <v>0.32700000000000001</v>
      </c>
      <c r="F89" s="98" t="s">
        <v>13</v>
      </c>
      <c r="G89" s="10" t="s">
        <v>94</v>
      </c>
      <c r="H89" s="82">
        <v>67975</v>
      </c>
      <c r="I89" s="37">
        <v>0.16700000000000001</v>
      </c>
    </row>
    <row r="90" spans="1:9" x14ac:dyDescent="0.3">
      <c r="A90" s="99"/>
      <c r="B90" s="10" t="s">
        <v>96</v>
      </c>
      <c r="C90" s="82">
        <v>11850</v>
      </c>
      <c r="D90" s="37">
        <v>9.5000000000000001E-2</v>
      </c>
      <c r="F90" s="99"/>
      <c r="G90" s="10" t="s">
        <v>96</v>
      </c>
      <c r="H90" s="82">
        <v>54068</v>
      </c>
      <c r="I90" s="37">
        <v>0.13300000000000001</v>
      </c>
    </row>
    <row r="91" spans="1:9" x14ac:dyDescent="0.3">
      <c r="A91" s="99"/>
      <c r="B91" s="10" t="s">
        <v>95</v>
      </c>
      <c r="C91" s="82">
        <v>8159</v>
      </c>
      <c r="D91" s="37">
        <v>6.6000000000000003E-2</v>
      </c>
      <c r="F91" s="99"/>
      <c r="G91" s="10" t="s">
        <v>102</v>
      </c>
      <c r="H91" s="82">
        <v>30681</v>
      </c>
      <c r="I91" s="37">
        <v>7.4999999999999997E-2</v>
      </c>
    </row>
    <row r="92" spans="1:9" x14ac:dyDescent="0.3">
      <c r="A92" s="99"/>
      <c r="B92" s="10" t="s">
        <v>99</v>
      </c>
      <c r="C92" s="82">
        <v>6408</v>
      </c>
      <c r="D92" s="37">
        <v>5.1999999999999998E-2</v>
      </c>
      <c r="F92" s="99"/>
      <c r="G92" s="10" t="s">
        <v>83</v>
      </c>
      <c r="H92" s="82">
        <v>30565</v>
      </c>
      <c r="I92" s="37">
        <v>7.4999999999999997E-2</v>
      </c>
    </row>
    <row r="93" spans="1:9" x14ac:dyDescent="0.3">
      <c r="A93" s="99"/>
      <c r="B93" s="10" t="s">
        <v>100</v>
      </c>
      <c r="C93" s="82">
        <v>4146</v>
      </c>
      <c r="D93" s="37">
        <v>3.3000000000000002E-2</v>
      </c>
      <c r="F93" s="99"/>
      <c r="G93" s="10" t="s">
        <v>95</v>
      </c>
      <c r="H93" s="82">
        <v>29095</v>
      </c>
      <c r="I93" s="37">
        <v>7.0999999999999994E-2</v>
      </c>
    </row>
    <row r="94" spans="1:9" x14ac:dyDescent="0.3">
      <c r="A94" s="107" t="s">
        <v>14</v>
      </c>
      <c r="B94" s="34" t="s">
        <v>94</v>
      </c>
      <c r="C94" s="81">
        <v>23497</v>
      </c>
      <c r="D94" s="35">
        <v>0.315</v>
      </c>
      <c r="F94" s="107" t="s">
        <v>14</v>
      </c>
      <c r="G94" s="34" t="s">
        <v>94</v>
      </c>
      <c r="H94" s="81">
        <v>30163</v>
      </c>
      <c r="I94" s="35">
        <v>0.14899999999999999</v>
      </c>
    </row>
    <row r="95" spans="1:9" x14ac:dyDescent="0.3">
      <c r="A95" s="108"/>
      <c r="B95" s="34" t="s">
        <v>95</v>
      </c>
      <c r="C95" s="81">
        <v>7121</v>
      </c>
      <c r="D95" s="35">
        <v>9.5000000000000001E-2</v>
      </c>
      <c r="F95" s="108"/>
      <c r="G95" s="34" t="s">
        <v>96</v>
      </c>
      <c r="H95" s="81">
        <v>23994</v>
      </c>
      <c r="I95" s="35">
        <v>0.11899999999999999</v>
      </c>
    </row>
    <row r="96" spans="1:9" x14ac:dyDescent="0.3">
      <c r="A96" s="108"/>
      <c r="B96" s="34" t="s">
        <v>96</v>
      </c>
      <c r="C96" s="81">
        <v>6001</v>
      </c>
      <c r="D96" s="35">
        <v>0.08</v>
      </c>
      <c r="F96" s="108"/>
      <c r="G96" s="34" t="s">
        <v>95</v>
      </c>
      <c r="H96" s="81">
        <v>19673</v>
      </c>
      <c r="I96" s="35">
        <v>9.7000000000000003E-2</v>
      </c>
    </row>
    <row r="97" spans="1:9" x14ac:dyDescent="0.3">
      <c r="A97" s="108"/>
      <c r="B97" s="34" t="s">
        <v>99</v>
      </c>
      <c r="C97" s="81">
        <v>2698</v>
      </c>
      <c r="D97" s="35">
        <v>3.5999999999999997E-2</v>
      </c>
      <c r="F97" s="108"/>
      <c r="G97" s="34" t="s">
        <v>102</v>
      </c>
      <c r="H97" s="81">
        <v>15359</v>
      </c>
      <c r="I97" s="35">
        <v>7.5999999999999998E-2</v>
      </c>
    </row>
    <row r="98" spans="1:9" x14ac:dyDescent="0.3">
      <c r="A98" s="108"/>
      <c r="B98" s="34" t="s">
        <v>97</v>
      </c>
      <c r="C98" s="81">
        <v>2521</v>
      </c>
      <c r="D98" s="35">
        <v>3.4000000000000002E-2</v>
      </c>
      <c r="F98" s="108"/>
      <c r="G98" s="34" t="s">
        <v>83</v>
      </c>
      <c r="H98" s="81">
        <v>14413</v>
      </c>
      <c r="I98" s="35">
        <v>7.0999999999999994E-2</v>
      </c>
    </row>
    <row r="100" spans="1:9" x14ac:dyDescent="0.3">
      <c r="A100" s="3" t="s">
        <v>92</v>
      </c>
      <c r="B100" s="4"/>
      <c r="C100" s="38"/>
      <c r="D100" s="38"/>
      <c r="F100" s="3" t="s">
        <v>93</v>
      </c>
      <c r="G100" s="4"/>
      <c r="H100" s="38"/>
      <c r="I100" s="38"/>
    </row>
    <row r="101" spans="1:9" s="2" customFormat="1" x14ac:dyDescent="0.3">
      <c r="A101" s="31"/>
      <c r="B101" s="31" t="s">
        <v>33</v>
      </c>
      <c r="C101" s="33" t="s">
        <v>34</v>
      </c>
      <c r="D101" s="33" t="s">
        <v>35</v>
      </c>
      <c r="F101" s="31"/>
      <c r="G101" s="31" t="s">
        <v>33</v>
      </c>
      <c r="H101" s="33" t="s">
        <v>34</v>
      </c>
      <c r="I101" s="33" t="s">
        <v>35</v>
      </c>
    </row>
    <row r="102" spans="1:9" x14ac:dyDescent="0.3">
      <c r="A102" s="107" t="s">
        <v>129</v>
      </c>
      <c r="B102" s="34" t="s">
        <v>94</v>
      </c>
      <c r="C102" s="81">
        <v>7096</v>
      </c>
      <c r="D102" s="35">
        <v>0.32100000000000001</v>
      </c>
      <c r="F102" s="107" t="s">
        <v>129</v>
      </c>
      <c r="G102" s="34" t="s">
        <v>96</v>
      </c>
      <c r="H102" s="81">
        <v>5436</v>
      </c>
      <c r="I102" s="35">
        <v>0.126</v>
      </c>
    </row>
    <row r="103" spans="1:9" x14ac:dyDescent="0.3">
      <c r="A103" s="108"/>
      <c r="B103" s="34" t="s">
        <v>95</v>
      </c>
      <c r="C103" s="81">
        <v>2562</v>
      </c>
      <c r="D103" s="35">
        <v>0.11600000000000001</v>
      </c>
      <c r="F103" s="108"/>
      <c r="G103" s="34" t="s">
        <v>95</v>
      </c>
      <c r="H103" s="81">
        <v>4288</v>
      </c>
      <c r="I103" s="35">
        <v>0.1</v>
      </c>
    </row>
    <row r="104" spans="1:9" x14ac:dyDescent="0.3">
      <c r="A104" s="108"/>
      <c r="B104" s="34" t="s">
        <v>96</v>
      </c>
      <c r="C104" s="81">
        <v>1770</v>
      </c>
      <c r="D104" s="35">
        <v>0.08</v>
      </c>
      <c r="F104" s="108"/>
      <c r="G104" s="34" t="s">
        <v>86</v>
      </c>
      <c r="H104" s="81">
        <v>3578</v>
      </c>
      <c r="I104" s="35">
        <v>8.3000000000000004E-2</v>
      </c>
    </row>
    <row r="105" spans="1:9" x14ac:dyDescent="0.3">
      <c r="A105" s="108"/>
      <c r="B105" s="34" t="s">
        <v>98</v>
      </c>
      <c r="C105" s="81">
        <v>1333</v>
      </c>
      <c r="D105" s="35">
        <v>0.06</v>
      </c>
      <c r="F105" s="108"/>
      <c r="G105" s="34" t="s">
        <v>87</v>
      </c>
      <c r="H105" s="81">
        <v>3351</v>
      </c>
      <c r="I105" s="35">
        <v>7.8E-2</v>
      </c>
    </row>
    <row r="106" spans="1:9" x14ac:dyDescent="0.3">
      <c r="A106" s="108"/>
      <c r="B106" s="34" t="s">
        <v>101</v>
      </c>
      <c r="C106" s="81">
        <v>1167</v>
      </c>
      <c r="D106" s="35">
        <v>5.2999999999999999E-2</v>
      </c>
      <c r="F106" s="108"/>
      <c r="G106" s="34" t="s">
        <v>102</v>
      </c>
      <c r="H106" s="81">
        <v>3246</v>
      </c>
      <c r="I106" s="35">
        <v>7.4999999999999997E-2</v>
      </c>
    </row>
    <row r="107" spans="1:9" x14ac:dyDescent="0.3">
      <c r="A107" s="98" t="s">
        <v>130</v>
      </c>
      <c r="B107" s="10" t="s">
        <v>94</v>
      </c>
      <c r="C107" s="82">
        <v>18671</v>
      </c>
      <c r="D107" s="37">
        <v>0.40400000000000003</v>
      </c>
      <c r="F107" s="98" t="s">
        <v>130</v>
      </c>
      <c r="G107" s="10" t="s">
        <v>96</v>
      </c>
      <c r="H107" s="82">
        <v>51346</v>
      </c>
      <c r="I107" s="37">
        <v>0.18099999999999999</v>
      </c>
    </row>
    <row r="108" spans="1:9" x14ac:dyDescent="0.3">
      <c r="A108" s="99"/>
      <c r="B108" s="10" t="s">
        <v>95</v>
      </c>
      <c r="C108" s="82">
        <v>4629</v>
      </c>
      <c r="D108" s="37">
        <v>0.1</v>
      </c>
      <c r="F108" s="99"/>
      <c r="G108" s="10" t="s">
        <v>102</v>
      </c>
      <c r="H108" s="82">
        <v>24832</v>
      </c>
      <c r="I108" s="37">
        <v>8.7999999999999995E-2</v>
      </c>
    </row>
    <row r="109" spans="1:9" x14ac:dyDescent="0.3">
      <c r="A109" s="99"/>
      <c r="B109" s="10" t="s">
        <v>96</v>
      </c>
      <c r="C109" s="82">
        <v>4514</v>
      </c>
      <c r="D109" s="37">
        <v>9.8000000000000004E-2</v>
      </c>
      <c r="F109" s="99"/>
      <c r="G109" s="10" t="s">
        <v>95</v>
      </c>
      <c r="H109" s="82">
        <v>24204</v>
      </c>
      <c r="I109" s="37">
        <v>8.5000000000000006E-2</v>
      </c>
    </row>
    <row r="110" spans="1:9" x14ac:dyDescent="0.3">
      <c r="A110" s="99"/>
      <c r="B110" s="10" t="s">
        <v>99</v>
      </c>
      <c r="C110" s="82">
        <v>1639</v>
      </c>
      <c r="D110" s="37">
        <v>3.5000000000000003E-2</v>
      </c>
      <c r="F110" s="99"/>
      <c r="G110" s="10" t="s">
        <v>83</v>
      </c>
      <c r="H110" s="82">
        <v>24084</v>
      </c>
      <c r="I110" s="37">
        <v>8.5000000000000006E-2</v>
      </c>
    </row>
    <row r="111" spans="1:9" x14ac:dyDescent="0.3">
      <c r="A111" s="99"/>
      <c r="B111" s="10" t="s">
        <v>98</v>
      </c>
      <c r="C111" s="82">
        <v>1605</v>
      </c>
      <c r="D111" s="37">
        <v>3.5000000000000003E-2</v>
      </c>
      <c r="F111" s="99"/>
      <c r="G111" s="10" t="s">
        <v>87</v>
      </c>
      <c r="H111" s="82">
        <v>18795</v>
      </c>
      <c r="I111" s="37">
        <v>6.6000000000000003E-2</v>
      </c>
    </row>
    <row r="112" spans="1:9" x14ac:dyDescent="0.3">
      <c r="A112" s="107" t="s">
        <v>131</v>
      </c>
      <c r="B112" s="34" t="s">
        <v>94</v>
      </c>
      <c r="C112" s="81">
        <v>21756</v>
      </c>
      <c r="D112" s="35">
        <v>0.35299999999999998</v>
      </c>
      <c r="F112" s="107" t="s">
        <v>131</v>
      </c>
      <c r="G112" s="34" t="s">
        <v>96</v>
      </c>
      <c r="H112" s="81">
        <v>18276</v>
      </c>
      <c r="I112" s="35">
        <v>0.13200000000000001</v>
      </c>
    </row>
    <row r="113" spans="1:9" x14ac:dyDescent="0.3">
      <c r="A113" s="108"/>
      <c r="B113" s="34" t="s">
        <v>95</v>
      </c>
      <c r="C113" s="81">
        <v>6968</v>
      </c>
      <c r="D113" s="35">
        <v>0.113</v>
      </c>
      <c r="F113" s="108"/>
      <c r="G113" s="34" t="s">
        <v>95</v>
      </c>
      <c r="H113" s="81">
        <v>14053</v>
      </c>
      <c r="I113" s="35">
        <v>0.10100000000000001</v>
      </c>
    </row>
    <row r="114" spans="1:9" x14ac:dyDescent="0.3">
      <c r="A114" s="108"/>
      <c r="B114" s="34" t="s">
        <v>96</v>
      </c>
      <c r="C114" s="81">
        <v>5192</v>
      </c>
      <c r="D114" s="35">
        <v>8.4000000000000005E-2</v>
      </c>
      <c r="F114" s="108"/>
      <c r="G114" s="34" t="s">
        <v>102</v>
      </c>
      <c r="H114" s="81">
        <v>11192</v>
      </c>
      <c r="I114" s="35">
        <v>8.1000000000000003E-2</v>
      </c>
    </row>
    <row r="115" spans="1:9" x14ac:dyDescent="0.3">
      <c r="A115" s="108"/>
      <c r="B115" s="34" t="s">
        <v>98</v>
      </c>
      <c r="C115" s="81">
        <v>3076</v>
      </c>
      <c r="D115" s="35">
        <v>0.05</v>
      </c>
      <c r="F115" s="108"/>
      <c r="G115" s="34" t="s">
        <v>94</v>
      </c>
      <c r="H115" s="81">
        <v>10875</v>
      </c>
      <c r="I115" s="35">
        <v>7.8E-2</v>
      </c>
    </row>
    <row r="116" spans="1:9" x14ac:dyDescent="0.3">
      <c r="A116" s="108"/>
      <c r="B116" s="34" t="s">
        <v>101</v>
      </c>
      <c r="C116" s="81">
        <v>2842</v>
      </c>
      <c r="D116" s="35">
        <v>4.5999999999999999E-2</v>
      </c>
      <c r="F116" s="108"/>
      <c r="G116" s="34" t="s">
        <v>86</v>
      </c>
      <c r="H116" s="81">
        <v>10194</v>
      </c>
      <c r="I116" s="35">
        <v>7.2999999999999995E-2</v>
      </c>
    </row>
    <row r="117" spans="1:9" x14ac:dyDescent="0.3">
      <c r="A117" s="98" t="s">
        <v>132</v>
      </c>
      <c r="B117" s="10" t="s">
        <v>94</v>
      </c>
      <c r="C117" s="82">
        <v>47418</v>
      </c>
      <c r="D117" s="37">
        <v>0.39</v>
      </c>
      <c r="F117" s="98" t="s">
        <v>132</v>
      </c>
      <c r="G117" s="10" t="s">
        <v>96</v>
      </c>
      <c r="H117" s="82">
        <v>93483</v>
      </c>
      <c r="I117" s="37">
        <v>0.16800000000000001</v>
      </c>
    </row>
    <row r="118" spans="1:9" x14ac:dyDescent="0.3">
      <c r="A118" s="99"/>
      <c r="B118" s="10" t="s">
        <v>95</v>
      </c>
      <c r="C118" s="82">
        <v>13881</v>
      </c>
      <c r="D118" s="37">
        <v>0.114</v>
      </c>
      <c r="F118" s="99"/>
      <c r="G118" s="10" t="s">
        <v>95</v>
      </c>
      <c r="H118" s="82">
        <v>51915</v>
      </c>
      <c r="I118" s="37">
        <v>9.2999999999999999E-2</v>
      </c>
    </row>
    <row r="119" spans="1:9" x14ac:dyDescent="0.3">
      <c r="A119" s="99"/>
      <c r="B119" s="10" t="s">
        <v>96</v>
      </c>
      <c r="C119" s="82">
        <v>11119</v>
      </c>
      <c r="D119" s="37">
        <v>9.0999999999999998E-2</v>
      </c>
      <c r="F119" s="99"/>
      <c r="G119" s="10" t="s">
        <v>102</v>
      </c>
      <c r="H119" s="82">
        <v>47485</v>
      </c>
      <c r="I119" s="37">
        <v>8.5000000000000006E-2</v>
      </c>
    </row>
    <row r="120" spans="1:9" x14ac:dyDescent="0.3">
      <c r="A120" s="99"/>
      <c r="B120" s="10" t="s">
        <v>98</v>
      </c>
      <c r="C120" s="82">
        <v>4582</v>
      </c>
      <c r="D120" s="37">
        <v>3.7999999999999999E-2</v>
      </c>
      <c r="F120" s="99"/>
      <c r="G120" s="10" t="s">
        <v>83</v>
      </c>
      <c r="H120" s="82">
        <v>42969</v>
      </c>
      <c r="I120" s="37">
        <v>7.6999999999999999E-2</v>
      </c>
    </row>
    <row r="121" spans="1:9" x14ac:dyDescent="0.3">
      <c r="A121" s="99"/>
      <c r="B121" s="10" t="s">
        <v>99</v>
      </c>
      <c r="C121" s="82">
        <v>4112</v>
      </c>
      <c r="D121" s="37">
        <v>3.4000000000000002E-2</v>
      </c>
      <c r="F121" s="99"/>
      <c r="G121" s="10" t="s">
        <v>87</v>
      </c>
      <c r="H121" s="82">
        <v>35232</v>
      </c>
      <c r="I121" s="37">
        <v>6.3E-2</v>
      </c>
    </row>
    <row r="122" spans="1:9" x14ac:dyDescent="0.3">
      <c r="A122" s="107" t="s">
        <v>133</v>
      </c>
      <c r="B122" s="34" t="s">
        <v>94</v>
      </c>
      <c r="C122" s="81">
        <v>23802</v>
      </c>
      <c r="D122" s="35">
        <v>0.37</v>
      </c>
      <c r="F122" s="107" t="s">
        <v>133</v>
      </c>
      <c r="G122" s="34" t="s">
        <v>96</v>
      </c>
      <c r="H122" s="81">
        <v>23198</v>
      </c>
      <c r="I122" s="35">
        <v>0.13500000000000001</v>
      </c>
    </row>
    <row r="123" spans="1:9" x14ac:dyDescent="0.3">
      <c r="A123" s="108"/>
      <c r="B123" s="34" t="s">
        <v>95</v>
      </c>
      <c r="C123" s="81">
        <v>6124</v>
      </c>
      <c r="D123" s="35">
        <v>9.5000000000000001E-2</v>
      </c>
      <c r="F123" s="108"/>
      <c r="G123" s="34" t="s">
        <v>95</v>
      </c>
      <c r="H123" s="81">
        <v>15686</v>
      </c>
      <c r="I123" s="35">
        <v>9.1999999999999998E-2</v>
      </c>
    </row>
    <row r="124" spans="1:9" x14ac:dyDescent="0.3">
      <c r="A124" s="108"/>
      <c r="B124" s="34" t="s">
        <v>96</v>
      </c>
      <c r="C124" s="81">
        <v>5735</v>
      </c>
      <c r="D124" s="35">
        <v>8.8999999999999996E-2</v>
      </c>
      <c r="F124" s="108"/>
      <c r="G124" s="34" t="s">
        <v>102</v>
      </c>
      <c r="H124" s="81">
        <v>14491</v>
      </c>
      <c r="I124" s="35">
        <v>8.5000000000000006E-2</v>
      </c>
    </row>
    <row r="125" spans="1:9" x14ac:dyDescent="0.3">
      <c r="A125" s="108"/>
      <c r="B125" s="34" t="s">
        <v>98</v>
      </c>
      <c r="C125" s="81">
        <v>3133</v>
      </c>
      <c r="D125" s="35">
        <v>4.9000000000000002E-2</v>
      </c>
      <c r="F125" s="108"/>
      <c r="G125" s="34" t="s">
        <v>94</v>
      </c>
      <c r="H125" s="81">
        <v>13589</v>
      </c>
      <c r="I125" s="35">
        <v>7.9000000000000001E-2</v>
      </c>
    </row>
    <row r="126" spans="1:9" x14ac:dyDescent="0.3">
      <c r="A126" s="108"/>
      <c r="B126" s="34" t="s">
        <v>101</v>
      </c>
      <c r="C126" s="81">
        <v>3095</v>
      </c>
      <c r="D126" s="35">
        <v>4.8000000000000001E-2</v>
      </c>
      <c r="F126" s="108"/>
      <c r="G126" s="34" t="s">
        <v>86</v>
      </c>
      <c r="H126" s="81">
        <v>12503</v>
      </c>
      <c r="I126" s="35">
        <v>7.2999999999999995E-2</v>
      </c>
    </row>
    <row r="127" spans="1:9" x14ac:dyDescent="0.3">
      <c r="A127" s="98" t="s">
        <v>134</v>
      </c>
      <c r="B127" s="10" t="s">
        <v>94</v>
      </c>
      <c r="C127" s="82">
        <v>45372</v>
      </c>
      <c r="D127" s="37">
        <v>0.38100000000000001</v>
      </c>
      <c r="F127" s="98" t="s">
        <v>134</v>
      </c>
      <c r="G127" s="10" t="s">
        <v>96</v>
      </c>
      <c r="H127" s="82">
        <v>88561</v>
      </c>
      <c r="I127" s="37">
        <v>0.16900000000000001</v>
      </c>
    </row>
    <row r="128" spans="1:9" x14ac:dyDescent="0.3">
      <c r="A128" s="99"/>
      <c r="B128" s="10" t="s">
        <v>95</v>
      </c>
      <c r="C128" s="82">
        <v>14725</v>
      </c>
      <c r="D128" s="37">
        <v>0.124</v>
      </c>
      <c r="F128" s="99"/>
      <c r="G128" s="10" t="s">
        <v>95</v>
      </c>
      <c r="H128" s="82">
        <v>50282</v>
      </c>
      <c r="I128" s="37">
        <v>9.6000000000000002E-2</v>
      </c>
    </row>
    <row r="129" spans="1:9" x14ac:dyDescent="0.3">
      <c r="A129" s="99"/>
      <c r="B129" s="10" t="s">
        <v>96</v>
      </c>
      <c r="C129" s="82">
        <v>10576</v>
      </c>
      <c r="D129" s="37">
        <v>8.8999999999999996E-2</v>
      </c>
      <c r="F129" s="99"/>
      <c r="G129" s="10" t="s">
        <v>102</v>
      </c>
      <c r="H129" s="82">
        <v>44186</v>
      </c>
      <c r="I129" s="37">
        <v>8.4000000000000005E-2</v>
      </c>
    </row>
    <row r="130" spans="1:9" x14ac:dyDescent="0.3">
      <c r="A130" s="99"/>
      <c r="B130" s="10" t="s">
        <v>98</v>
      </c>
      <c r="C130" s="82">
        <v>4525</v>
      </c>
      <c r="D130" s="37">
        <v>3.7999999999999999E-2</v>
      </c>
      <c r="F130" s="99"/>
      <c r="G130" s="10" t="s">
        <v>83</v>
      </c>
      <c r="H130" s="82">
        <v>40286</v>
      </c>
      <c r="I130" s="37">
        <v>7.6999999999999999E-2</v>
      </c>
    </row>
    <row r="131" spans="1:9" x14ac:dyDescent="0.3">
      <c r="A131" s="99"/>
      <c r="B131" s="10" t="s">
        <v>97</v>
      </c>
      <c r="C131" s="82">
        <v>4028</v>
      </c>
      <c r="D131" s="37">
        <v>3.4000000000000002E-2</v>
      </c>
      <c r="F131" s="99"/>
      <c r="G131" s="10" t="s">
        <v>87</v>
      </c>
      <c r="H131" s="82">
        <v>32264</v>
      </c>
      <c r="I131" s="37">
        <v>6.2E-2</v>
      </c>
    </row>
    <row r="132" spans="1:9" x14ac:dyDescent="0.3">
      <c r="A132" s="107" t="s">
        <v>12</v>
      </c>
      <c r="B132" s="34" t="s">
        <v>94</v>
      </c>
      <c r="C132" s="81">
        <v>18272</v>
      </c>
      <c r="D132" s="35">
        <v>0.38900000000000001</v>
      </c>
      <c r="F132" s="107" t="s">
        <v>12</v>
      </c>
      <c r="G132" s="34" t="s">
        <v>96</v>
      </c>
      <c r="H132" s="81">
        <v>24084</v>
      </c>
      <c r="I132" s="35">
        <v>0.14599999999999999</v>
      </c>
    </row>
    <row r="133" spans="1:9" x14ac:dyDescent="0.3">
      <c r="A133" s="108"/>
      <c r="B133" s="34" t="s">
        <v>95</v>
      </c>
      <c r="C133" s="81">
        <v>4433</v>
      </c>
      <c r="D133" s="35">
        <v>9.4E-2</v>
      </c>
      <c r="F133" s="108"/>
      <c r="G133" s="34" t="s">
        <v>102</v>
      </c>
      <c r="H133" s="81">
        <v>15099</v>
      </c>
      <c r="I133" s="35">
        <v>9.0999999999999998E-2</v>
      </c>
    </row>
    <row r="134" spans="1:9" x14ac:dyDescent="0.3">
      <c r="A134" s="108"/>
      <c r="B134" s="34" t="s">
        <v>96</v>
      </c>
      <c r="C134" s="81">
        <v>4238</v>
      </c>
      <c r="D134" s="35">
        <v>0.09</v>
      </c>
      <c r="F134" s="108"/>
      <c r="G134" s="34" t="s">
        <v>95</v>
      </c>
      <c r="H134" s="81">
        <v>13428</v>
      </c>
      <c r="I134" s="35">
        <v>8.1000000000000003E-2</v>
      </c>
    </row>
    <row r="135" spans="1:9" x14ac:dyDescent="0.3">
      <c r="A135" s="108"/>
      <c r="B135" s="34" t="s">
        <v>98</v>
      </c>
      <c r="C135" s="81">
        <v>2042</v>
      </c>
      <c r="D135" s="35">
        <v>4.2999999999999997E-2</v>
      </c>
      <c r="F135" s="108"/>
      <c r="G135" s="34" t="s">
        <v>87</v>
      </c>
      <c r="H135" s="81">
        <v>12176</v>
      </c>
      <c r="I135" s="35">
        <v>7.3999999999999996E-2</v>
      </c>
    </row>
    <row r="136" spans="1:9" x14ac:dyDescent="0.3">
      <c r="A136" s="108"/>
      <c r="B136" s="34" t="s">
        <v>101</v>
      </c>
      <c r="C136" s="81">
        <v>1943</v>
      </c>
      <c r="D136" s="35">
        <v>4.1000000000000002E-2</v>
      </c>
      <c r="F136" s="108"/>
      <c r="G136" s="34" t="s">
        <v>83</v>
      </c>
      <c r="H136" s="81">
        <v>11979</v>
      </c>
      <c r="I136" s="35">
        <v>7.1999999999999995E-2</v>
      </c>
    </row>
    <row r="137" spans="1:9" x14ac:dyDescent="0.3">
      <c r="A137" s="98" t="s">
        <v>13</v>
      </c>
      <c r="B137" s="10" t="s">
        <v>94</v>
      </c>
      <c r="C137" s="82">
        <v>30449</v>
      </c>
      <c r="D137" s="37">
        <v>0.39400000000000002</v>
      </c>
      <c r="F137" s="98" t="s">
        <v>13</v>
      </c>
      <c r="G137" s="10" t="s">
        <v>96</v>
      </c>
      <c r="H137" s="82">
        <v>61047</v>
      </c>
      <c r="I137" s="37">
        <v>0.17100000000000001</v>
      </c>
    </row>
    <row r="138" spans="1:9" x14ac:dyDescent="0.3">
      <c r="A138" s="99"/>
      <c r="B138" s="10" t="s">
        <v>96</v>
      </c>
      <c r="C138" s="82">
        <v>7478</v>
      </c>
      <c r="D138" s="37">
        <v>9.7000000000000003E-2</v>
      </c>
      <c r="F138" s="99"/>
      <c r="G138" s="10" t="s">
        <v>95</v>
      </c>
      <c r="H138" s="82">
        <v>33324</v>
      </c>
      <c r="I138" s="37">
        <v>9.2999999999999999E-2</v>
      </c>
    </row>
    <row r="139" spans="1:9" x14ac:dyDescent="0.3">
      <c r="A139" s="99"/>
      <c r="B139" s="10" t="s">
        <v>95</v>
      </c>
      <c r="C139" s="82">
        <v>7406</v>
      </c>
      <c r="D139" s="37">
        <v>9.6000000000000002E-2</v>
      </c>
      <c r="F139" s="99"/>
      <c r="G139" s="10" t="s">
        <v>102</v>
      </c>
      <c r="H139" s="82">
        <v>30188</v>
      </c>
      <c r="I139" s="37">
        <v>8.5000000000000006E-2</v>
      </c>
    </row>
    <row r="140" spans="1:9" x14ac:dyDescent="0.3">
      <c r="A140" s="99"/>
      <c r="B140" s="10" t="s">
        <v>98</v>
      </c>
      <c r="C140" s="82">
        <v>3281</v>
      </c>
      <c r="D140" s="37">
        <v>4.2000000000000003E-2</v>
      </c>
      <c r="F140" s="99"/>
      <c r="G140" s="10" t="s">
        <v>83</v>
      </c>
      <c r="H140" s="82">
        <v>27006</v>
      </c>
      <c r="I140" s="37">
        <v>7.5999999999999998E-2</v>
      </c>
    </row>
    <row r="141" spans="1:9" x14ac:dyDescent="0.3">
      <c r="A141" s="99"/>
      <c r="B141" s="10" t="s">
        <v>101</v>
      </c>
      <c r="C141" s="82">
        <v>3012</v>
      </c>
      <c r="D141" s="37">
        <v>3.9E-2</v>
      </c>
      <c r="F141" s="99"/>
      <c r="G141" s="10" t="s">
        <v>87</v>
      </c>
      <c r="H141" s="82">
        <v>23336</v>
      </c>
      <c r="I141" s="37">
        <v>6.5000000000000002E-2</v>
      </c>
    </row>
    <row r="142" spans="1:9" x14ac:dyDescent="0.3">
      <c r="A142" s="107" t="s">
        <v>14</v>
      </c>
      <c r="B142" s="34" t="s">
        <v>94</v>
      </c>
      <c r="C142" s="81">
        <v>20453</v>
      </c>
      <c r="D142" s="35">
        <v>0.34599999999999997</v>
      </c>
      <c r="F142" s="107" t="s">
        <v>14</v>
      </c>
      <c r="G142" s="34" t="s">
        <v>96</v>
      </c>
      <c r="H142" s="81">
        <v>26628</v>
      </c>
      <c r="I142" s="35">
        <v>0.154</v>
      </c>
    </row>
    <row r="143" spans="1:9" x14ac:dyDescent="0.3">
      <c r="A143" s="108"/>
      <c r="B143" s="34" t="s">
        <v>95</v>
      </c>
      <c r="C143" s="81">
        <v>9010</v>
      </c>
      <c r="D143" s="35">
        <v>0.153</v>
      </c>
      <c r="F143" s="108"/>
      <c r="G143" s="34" t="s">
        <v>95</v>
      </c>
      <c r="H143" s="81">
        <v>19216</v>
      </c>
      <c r="I143" s="35">
        <v>0.111</v>
      </c>
    </row>
    <row r="144" spans="1:9" x14ac:dyDescent="0.3">
      <c r="A144" s="108"/>
      <c r="B144" s="34" t="s">
        <v>96</v>
      </c>
      <c r="C144" s="81">
        <v>4595</v>
      </c>
      <c r="D144" s="35">
        <v>7.8E-2</v>
      </c>
      <c r="F144" s="108"/>
      <c r="G144" s="34" t="s">
        <v>102</v>
      </c>
      <c r="H144" s="81">
        <v>13390</v>
      </c>
      <c r="I144" s="35">
        <v>7.6999999999999999E-2</v>
      </c>
    </row>
    <row r="145" spans="1:9" x14ac:dyDescent="0.3">
      <c r="A145" s="108"/>
      <c r="B145" s="34" t="s">
        <v>97</v>
      </c>
      <c r="C145" s="81">
        <v>2677</v>
      </c>
      <c r="D145" s="35">
        <v>4.4999999999999998E-2</v>
      </c>
      <c r="F145" s="108"/>
      <c r="G145" s="34" t="s">
        <v>83</v>
      </c>
      <c r="H145" s="81">
        <v>11408</v>
      </c>
      <c r="I145" s="35">
        <v>6.6000000000000003E-2</v>
      </c>
    </row>
    <row r="146" spans="1:9" x14ac:dyDescent="0.3">
      <c r="A146" s="108"/>
      <c r="B146" s="34" t="s">
        <v>98</v>
      </c>
      <c r="C146" s="81">
        <v>2335</v>
      </c>
      <c r="D146" s="35">
        <v>0.04</v>
      </c>
      <c r="F146" s="108"/>
      <c r="G146" s="34" t="s">
        <v>103</v>
      </c>
      <c r="H146" s="81">
        <v>11371</v>
      </c>
      <c r="I146" s="35">
        <v>6.6000000000000003E-2</v>
      </c>
    </row>
  </sheetData>
  <mergeCells count="56">
    <mergeCell ref="A142:A146"/>
    <mergeCell ref="F142:F146"/>
    <mergeCell ref="A127:A131"/>
    <mergeCell ref="F127:F131"/>
    <mergeCell ref="A132:A136"/>
    <mergeCell ref="F132:F136"/>
    <mergeCell ref="A137:A141"/>
    <mergeCell ref="F137:F141"/>
    <mergeCell ref="A112:A116"/>
    <mergeCell ref="F112:F116"/>
    <mergeCell ref="A117:A121"/>
    <mergeCell ref="F117:F121"/>
    <mergeCell ref="A122:A126"/>
    <mergeCell ref="F122:F126"/>
    <mergeCell ref="A94:A98"/>
    <mergeCell ref="F94:F98"/>
    <mergeCell ref="A102:A106"/>
    <mergeCell ref="F102:F106"/>
    <mergeCell ref="A107:A111"/>
    <mergeCell ref="F107:F111"/>
    <mergeCell ref="A79:A83"/>
    <mergeCell ref="F79:F83"/>
    <mergeCell ref="A84:A88"/>
    <mergeCell ref="F84:F88"/>
    <mergeCell ref="A89:A93"/>
    <mergeCell ref="F89:F93"/>
    <mergeCell ref="A64:A68"/>
    <mergeCell ref="F64:F68"/>
    <mergeCell ref="A69:A73"/>
    <mergeCell ref="F69:F73"/>
    <mergeCell ref="A74:A78"/>
    <mergeCell ref="F74:F78"/>
    <mergeCell ref="A46:A50"/>
    <mergeCell ref="F46:F50"/>
    <mergeCell ref="A54:A58"/>
    <mergeCell ref="F54:F58"/>
    <mergeCell ref="A59:A63"/>
    <mergeCell ref="F59:F63"/>
    <mergeCell ref="A31:A35"/>
    <mergeCell ref="F31:F35"/>
    <mergeCell ref="A36:A40"/>
    <mergeCell ref="F36:F40"/>
    <mergeCell ref="A41:A45"/>
    <mergeCell ref="F41:F45"/>
    <mergeCell ref="A16:A20"/>
    <mergeCell ref="F16:F20"/>
    <mergeCell ref="A21:A25"/>
    <mergeCell ref="F21:F25"/>
    <mergeCell ref="A26:A30"/>
    <mergeCell ref="F26:F30"/>
    <mergeCell ref="A3:D3"/>
    <mergeCell ref="F3:I3"/>
    <mergeCell ref="A6:A10"/>
    <mergeCell ref="F6:F10"/>
    <mergeCell ref="A11:A15"/>
    <mergeCell ref="F11:F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3D81-4A7C-410C-9778-49A67AE498CF}">
  <dimension ref="A1:Y56"/>
  <sheetViews>
    <sheetView topLeftCell="A7" zoomScaleNormal="100" workbookViewId="0">
      <selection activeCell="A53" sqref="A53:XFD53"/>
    </sheetView>
  </sheetViews>
  <sheetFormatPr defaultRowHeight="14.4" x14ac:dyDescent="0.3"/>
  <cols>
    <col min="2" max="2" width="14.5546875" customWidth="1"/>
    <col min="3" max="3" width="11.5546875" customWidth="1"/>
    <col min="4" max="4" width="10.5546875" customWidth="1"/>
    <col min="5" max="5" width="11.6640625" customWidth="1"/>
    <col min="13" max="13" width="13.6640625" customWidth="1"/>
    <col min="15" max="15" width="13.33203125" customWidth="1"/>
    <col min="16" max="16" width="11.5546875" customWidth="1"/>
    <col min="17" max="17" width="10.33203125" customWidth="1"/>
    <col min="18" max="18" width="10.109375" customWidth="1"/>
  </cols>
  <sheetData>
    <row r="1" spans="1:25" ht="28.8" x14ac:dyDescent="0.3">
      <c r="A1" s="49" t="s">
        <v>36</v>
      </c>
      <c r="B1" s="50"/>
      <c r="C1" s="50"/>
      <c r="D1" s="50"/>
      <c r="E1" s="50"/>
      <c r="F1" s="50"/>
      <c r="G1" s="50"/>
      <c r="H1" s="50"/>
      <c r="I1" s="50"/>
      <c r="J1" s="50"/>
      <c r="K1" s="50"/>
      <c r="L1" s="50"/>
      <c r="M1" s="50"/>
      <c r="N1" s="50"/>
      <c r="O1" s="50"/>
      <c r="P1" s="50"/>
      <c r="Q1" s="50"/>
      <c r="R1" s="50"/>
      <c r="S1" s="50"/>
      <c r="T1" s="50"/>
      <c r="U1" s="50"/>
      <c r="V1" s="50"/>
      <c r="W1" s="50"/>
      <c r="X1" s="50"/>
      <c r="Y1" s="50"/>
    </row>
    <row r="2" spans="1:25" ht="18" x14ac:dyDescent="0.3">
      <c r="A2" s="109" t="s">
        <v>127</v>
      </c>
      <c r="B2" s="110"/>
      <c r="C2" s="110"/>
      <c r="D2" s="110"/>
      <c r="E2" s="110"/>
      <c r="F2" s="110"/>
      <c r="G2" s="110"/>
      <c r="H2" s="110"/>
      <c r="I2" s="110"/>
      <c r="J2" s="110"/>
      <c r="K2" s="110"/>
      <c r="L2" s="110"/>
      <c r="M2" s="51"/>
      <c r="N2" s="109" t="s">
        <v>128</v>
      </c>
      <c r="O2" s="110"/>
      <c r="P2" s="110"/>
      <c r="Q2" s="110"/>
      <c r="R2" s="110"/>
      <c r="S2" s="110"/>
      <c r="T2" s="110"/>
      <c r="U2" s="110"/>
      <c r="V2" s="110"/>
      <c r="W2" s="110"/>
      <c r="X2" s="110"/>
      <c r="Y2" s="110"/>
    </row>
    <row r="3" spans="1:25" x14ac:dyDescent="0.3">
      <c r="A3" s="52"/>
      <c r="B3" s="52"/>
      <c r="C3" s="52"/>
      <c r="D3" s="52"/>
      <c r="E3" s="52"/>
      <c r="F3" s="52"/>
      <c r="G3" s="52"/>
      <c r="H3" s="52"/>
      <c r="I3" s="52"/>
      <c r="J3" s="52"/>
      <c r="K3" s="52"/>
      <c r="L3" s="52"/>
      <c r="M3" s="53"/>
      <c r="N3" s="52"/>
      <c r="O3" s="52"/>
      <c r="P3" s="52"/>
      <c r="Q3" s="52"/>
      <c r="R3" s="52"/>
      <c r="S3" s="52"/>
      <c r="T3" s="52"/>
      <c r="U3" s="52"/>
      <c r="V3" s="52"/>
      <c r="W3" s="52"/>
      <c r="X3" s="52"/>
      <c r="Y3" s="52"/>
    </row>
    <row r="4" spans="1:25" x14ac:dyDescent="0.3">
      <c r="A4" s="2" t="str">
        <f>CONCATENATE("Table 19a. College Enrollment Rates in the First Fall after High School Graduation for Classes ",A6," and ",A7,", School Percentile Distribution")</f>
        <v>Table 19a. College Enrollment Rates in the First Fall after High School Graduation for Classes 2023 and 2024, School Percentile Distribution</v>
      </c>
      <c r="B4" s="54"/>
      <c r="N4" s="2" t="str">
        <f>CONCATENATE("Table 19b. College Enrollment Rates in the First Fall after High School Graduation for Classes ",N6," and ",N7,", School Percentile Distribution")</f>
        <v>Table 19b. College Enrollment Rates in the First Fall after High School Graduation for Classes 2023 and 2024, School Percentile Distribution</v>
      </c>
      <c r="O4" s="54"/>
    </row>
    <row r="5" spans="1:25" ht="28.8" x14ac:dyDescent="0.3">
      <c r="A5" s="55"/>
      <c r="B5" s="56" t="s">
        <v>37</v>
      </c>
      <c r="C5" s="57" t="s">
        <v>38</v>
      </c>
      <c r="D5" s="57" t="s">
        <v>39</v>
      </c>
      <c r="E5" s="57" t="s">
        <v>40</v>
      </c>
      <c r="N5" s="55"/>
      <c r="O5" s="56" t="s">
        <v>37</v>
      </c>
      <c r="P5" s="57" t="s">
        <v>38</v>
      </c>
      <c r="Q5" s="57" t="s">
        <v>39</v>
      </c>
      <c r="R5" s="57" t="s">
        <v>40</v>
      </c>
    </row>
    <row r="6" spans="1:25" x14ac:dyDescent="0.3">
      <c r="A6" s="58">
        <v>2023</v>
      </c>
      <c r="B6" s="56">
        <v>1785</v>
      </c>
      <c r="C6" s="59">
        <v>0.33300000000000002</v>
      </c>
      <c r="D6" s="59">
        <v>0.45600000000000002</v>
      </c>
      <c r="E6" s="59">
        <v>0.58099999999999996</v>
      </c>
      <c r="G6" s="60"/>
      <c r="I6" s="60"/>
      <c r="N6" s="58">
        <v>2023</v>
      </c>
      <c r="O6" s="56">
        <v>1820</v>
      </c>
      <c r="P6" s="59">
        <v>0.58299999999999996</v>
      </c>
      <c r="Q6" s="59">
        <v>0.69699999999999995</v>
      </c>
      <c r="R6" s="59">
        <v>0.80100000000000005</v>
      </c>
      <c r="T6" s="60"/>
      <c r="V6" s="60"/>
    </row>
    <row r="7" spans="1:25" x14ac:dyDescent="0.3">
      <c r="A7" s="58">
        <v>2024</v>
      </c>
      <c r="B7" s="56">
        <v>1641</v>
      </c>
      <c r="C7" s="59">
        <v>0.33300000000000002</v>
      </c>
      <c r="D7" s="59">
        <v>0.45800000000000002</v>
      </c>
      <c r="E7" s="59">
        <v>0.59599999999999997</v>
      </c>
      <c r="N7" s="58">
        <v>2024</v>
      </c>
      <c r="O7" s="56">
        <v>1298</v>
      </c>
      <c r="P7" s="59">
        <v>0.61899999999999999</v>
      </c>
      <c r="Q7" s="59">
        <v>0.72099999999999997</v>
      </c>
      <c r="R7" s="59">
        <v>0.81200000000000006</v>
      </c>
    </row>
    <row r="8" spans="1:25" x14ac:dyDescent="0.3">
      <c r="B8" s="54"/>
      <c r="O8" s="54"/>
    </row>
    <row r="9" spans="1:25" x14ac:dyDescent="0.3">
      <c r="A9" s="2" t="str">
        <f>CONCATENATE("Table 20a. College Enrollment Rates in the First Fall after High School Graduation for Classes ",A11," and ",A12,", Student-Weighted Totals")</f>
        <v>Table 20a. College Enrollment Rates in the First Fall after High School Graduation for Classes 2023 and 2024, Student-Weighted Totals</v>
      </c>
      <c r="B9" s="54"/>
      <c r="N9" s="2" t="str">
        <f>CONCATENATE("Table 20b. College Enrollment Rates in the First Fall after High School Graduation for Classes ",N11," and ",N12,", Student-Weighted Totals")</f>
        <v>Table 20b. College Enrollment Rates in the First Fall after High School Graduation for Classes 2023 and 2024, Student-Weighted Totals</v>
      </c>
      <c r="O9" s="54"/>
    </row>
    <row r="10" spans="1:25" ht="28.8" x14ac:dyDescent="0.3">
      <c r="A10" s="55"/>
      <c r="B10" s="56" t="s">
        <v>41</v>
      </c>
      <c r="C10" s="57" t="s">
        <v>42</v>
      </c>
      <c r="D10" s="57" t="s">
        <v>18</v>
      </c>
      <c r="E10" s="57" t="s">
        <v>19</v>
      </c>
      <c r="F10" s="57" t="s">
        <v>43</v>
      </c>
      <c r="G10" s="57" t="s">
        <v>44</v>
      </c>
      <c r="H10" s="57" t="s">
        <v>45</v>
      </c>
      <c r="I10" s="57" t="s">
        <v>46</v>
      </c>
      <c r="N10" s="55"/>
      <c r="O10" s="56" t="s">
        <v>41</v>
      </c>
      <c r="P10" s="57" t="s">
        <v>42</v>
      </c>
      <c r="Q10" s="57" t="s">
        <v>18</v>
      </c>
      <c r="R10" s="57" t="s">
        <v>19</v>
      </c>
      <c r="S10" s="57" t="s">
        <v>43</v>
      </c>
      <c r="T10" s="57" t="s">
        <v>44</v>
      </c>
      <c r="U10" s="57" t="s">
        <v>45</v>
      </c>
      <c r="V10" s="57" t="s">
        <v>46</v>
      </c>
    </row>
    <row r="11" spans="1:25" x14ac:dyDescent="0.3">
      <c r="A11" s="58">
        <v>2023</v>
      </c>
      <c r="B11" s="56">
        <v>308578</v>
      </c>
      <c r="C11" s="59">
        <v>0.50600000000000001</v>
      </c>
      <c r="D11" s="59">
        <v>0.44019999999999998</v>
      </c>
      <c r="E11" s="59">
        <v>6.6000000000000003E-2</v>
      </c>
      <c r="F11" s="59">
        <v>0.20899999999999999</v>
      </c>
      <c r="G11" s="59">
        <v>0.29699999999999999</v>
      </c>
      <c r="H11" s="59">
        <v>0.45700000000000002</v>
      </c>
      <c r="I11" s="59">
        <v>4.9000000000000002E-2</v>
      </c>
      <c r="N11" s="58">
        <v>2023</v>
      </c>
      <c r="O11" s="56">
        <v>443985</v>
      </c>
      <c r="P11" s="59">
        <v>0.72599999999999998</v>
      </c>
      <c r="Q11" s="59">
        <v>0.56830000000000003</v>
      </c>
      <c r="R11" s="59">
        <v>0.157</v>
      </c>
      <c r="S11" s="59">
        <v>0.13800000000000001</v>
      </c>
      <c r="T11" s="59">
        <v>0.58799999999999997</v>
      </c>
      <c r="U11" s="59">
        <v>0.50600000000000001</v>
      </c>
      <c r="V11" s="59">
        <v>0.219</v>
      </c>
    </row>
    <row r="12" spans="1:25" x14ac:dyDescent="0.3">
      <c r="A12" s="58">
        <v>2024</v>
      </c>
      <c r="B12" s="56">
        <v>289931</v>
      </c>
      <c r="C12" s="59">
        <v>0.51400000000000001</v>
      </c>
      <c r="D12" s="59">
        <v>0.4592</v>
      </c>
      <c r="E12" s="59">
        <v>5.5E-2</v>
      </c>
      <c r="F12" s="59">
        <v>0.22600000000000001</v>
      </c>
      <c r="G12" s="59">
        <v>0.28799999999999998</v>
      </c>
      <c r="H12" s="59">
        <v>0.46800000000000003</v>
      </c>
      <c r="I12" s="59">
        <v>4.5999999999999999E-2</v>
      </c>
      <c r="N12" s="58">
        <v>2024</v>
      </c>
      <c r="O12" s="56">
        <v>333789</v>
      </c>
      <c r="P12" s="59">
        <v>0.74199999999999999</v>
      </c>
      <c r="Q12" s="59">
        <v>0.59040000000000004</v>
      </c>
      <c r="R12" s="59">
        <v>0.151</v>
      </c>
      <c r="S12" s="59">
        <v>0.14299999999999999</v>
      </c>
      <c r="T12" s="59">
        <v>0.59799999999999998</v>
      </c>
      <c r="U12" s="59">
        <v>0.51800000000000002</v>
      </c>
      <c r="V12" s="59">
        <v>0.224</v>
      </c>
    </row>
    <row r="15" spans="1:25" x14ac:dyDescent="0.3">
      <c r="A15" s="61" t="str">
        <f>CONCATENATE("Table 21a. College Enrollment Rates in the First Year after High School Graduation for Classes ",A17," and ",A18,", School Percentile Distribution")</f>
        <v>Table 21a. College Enrollment Rates in the First Year after High School Graduation for Classes 2022 and 2023, School Percentile Distribution</v>
      </c>
      <c r="B15" s="54"/>
      <c r="N15" s="61" t="str">
        <f>CONCATENATE("Table 21b. College Enrollment Rates in the First Year after High School Graduation for Classes ",N17," and ",N18,", School Percentile Distribution")</f>
        <v>Table 21b. College Enrollment Rates in the First Year after High School Graduation for Classes 2022 and 2023, School Percentile Distribution</v>
      </c>
      <c r="O15" s="54"/>
    </row>
    <row r="16" spans="1:25" ht="28.8" x14ac:dyDescent="0.3">
      <c r="A16" s="55"/>
      <c r="B16" s="56" t="s">
        <v>37</v>
      </c>
      <c r="C16" s="56" t="s">
        <v>38</v>
      </c>
      <c r="D16" s="56" t="s">
        <v>39</v>
      </c>
      <c r="E16" s="56" t="s">
        <v>40</v>
      </c>
      <c r="N16" s="55"/>
      <c r="O16" s="56" t="s">
        <v>37</v>
      </c>
      <c r="P16" s="56" t="s">
        <v>38</v>
      </c>
      <c r="Q16" s="56" t="s">
        <v>39</v>
      </c>
      <c r="R16" s="56" t="s">
        <v>40</v>
      </c>
    </row>
    <row r="17" spans="1:22" x14ac:dyDescent="0.3">
      <c r="A17" s="58">
        <v>2022</v>
      </c>
      <c r="B17" s="56">
        <v>1368</v>
      </c>
      <c r="C17" s="59">
        <v>0.371</v>
      </c>
      <c r="D17" s="59">
        <v>0.48499999999999999</v>
      </c>
      <c r="E17" s="59">
        <v>0.61199999999999999</v>
      </c>
      <c r="N17" s="58">
        <v>2022</v>
      </c>
      <c r="O17" s="56">
        <v>2207</v>
      </c>
      <c r="P17" s="59">
        <v>0.58699999999999997</v>
      </c>
      <c r="Q17" s="59">
        <v>0.69499999999999995</v>
      </c>
      <c r="R17" s="59">
        <v>0.79900000000000004</v>
      </c>
    </row>
    <row r="18" spans="1:22" x14ac:dyDescent="0.3">
      <c r="A18" s="58">
        <v>2023</v>
      </c>
      <c r="B18" s="56">
        <v>1785</v>
      </c>
      <c r="C18" s="59">
        <v>0.36799999999999999</v>
      </c>
      <c r="D18" s="59">
        <v>0.49199999999999999</v>
      </c>
      <c r="E18" s="59">
        <v>0.61899999999999999</v>
      </c>
      <c r="N18" s="58">
        <v>2023</v>
      </c>
      <c r="O18" s="56">
        <v>1820</v>
      </c>
      <c r="P18" s="59">
        <v>0.60899999999999999</v>
      </c>
      <c r="Q18" s="59">
        <v>0.72399999999999998</v>
      </c>
      <c r="R18" s="59">
        <v>0.82199999999999995</v>
      </c>
    </row>
    <row r="19" spans="1:22" x14ac:dyDescent="0.3">
      <c r="B19" s="54"/>
      <c r="O19" s="54"/>
    </row>
    <row r="20" spans="1:22" x14ac:dyDescent="0.3">
      <c r="A20" s="61" t="str">
        <f>CONCATENATE("Table 22a. College Enrollment Rates in the First Year after High School Graduation for Classes ",A22," and ",A23,", Student-Weighted Totals")</f>
        <v>Table 22a. College Enrollment Rates in the First Year after High School Graduation for Classes 2022 and 2023, Student-Weighted Totals</v>
      </c>
      <c r="B20" s="54"/>
      <c r="N20" s="61" t="str">
        <f>CONCATENATE("Table 22b. College Enrollment Rates in the First Year after High School Graduation for Classes ",N22," and ",N23,", Student-Weighted Totals")</f>
        <v>Table 22b. College Enrollment Rates in the First Year after High School Graduation for Classes 2022 and 2023, Student-Weighted Totals</v>
      </c>
      <c r="O20" s="54"/>
    </row>
    <row r="21" spans="1:22" ht="28.8" x14ac:dyDescent="0.3">
      <c r="A21" s="55"/>
      <c r="B21" s="56" t="s">
        <v>41</v>
      </c>
      <c r="C21" s="57" t="s">
        <v>42</v>
      </c>
      <c r="D21" s="57" t="s">
        <v>18</v>
      </c>
      <c r="E21" s="57" t="s">
        <v>19</v>
      </c>
      <c r="F21" s="57" t="s">
        <v>43</v>
      </c>
      <c r="G21" s="57" t="s">
        <v>44</v>
      </c>
      <c r="H21" s="57" t="s">
        <v>45</v>
      </c>
      <c r="I21" s="57" t="s">
        <v>46</v>
      </c>
      <c r="N21" s="55"/>
      <c r="O21" s="56" t="s">
        <v>41</v>
      </c>
      <c r="P21" s="57" t="s">
        <v>42</v>
      </c>
      <c r="Q21" s="57" t="s">
        <v>18</v>
      </c>
      <c r="R21" s="57" t="s">
        <v>19</v>
      </c>
      <c r="S21" s="57" t="s">
        <v>43</v>
      </c>
      <c r="T21" s="57" t="s">
        <v>44</v>
      </c>
      <c r="U21" s="57" t="s">
        <v>45</v>
      </c>
      <c r="V21" s="57" t="s">
        <v>46</v>
      </c>
    </row>
    <row r="22" spans="1:22" x14ac:dyDescent="0.3">
      <c r="A22" s="58">
        <v>2022</v>
      </c>
      <c r="B22" s="56">
        <v>251442</v>
      </c>
      <c r="C22" s="59">
        <v>0.52100000000000002</v>
      </c>
      <c r="D22" s="59">
        <v>0.45600000000000002</v>
      </c>
      <c r="E22" s="59">
        <v>6.6000000000000003E-2</v>
      </c>
      <c r="F22" s="59">
        <v>0.23300000000000001</v>
      </c>
      <c r="G22" s="59">
        <v>0.28799999999999998</v>
      </c>
      <c r="H22" s="59">
        <v>0.47299999999999998</v>
      </c>
      <c r="I22" s="59">
        <v>4.9000000000000002E-2</v>
      </c>
      <c r="N22" s="58">
        <v>2022</v>
      </c>
      <c r="O22" s="56">
        <v>526635</v>
      </c>
      <c r="P22" s="59">
        <v>0.73299999999999998</v>
      </c>
      <c r="Q22" s="59">
        <v>0.57099999999999995</v>
      </c>
      <c r="R22" s="59">
        <v>0.16200000000000001</v>
      </c>
      <c r="S22" s="59">
        <v>0.16800000000000001</v>
      </c>
      <c r="T22" s="59">
        <v>0.56499999999999995</v>
      </c>
      <c r="U22" s="59">
        <v>0.504</v>
      </c>
      <c r="V22" s="59">
        <v>0.22900000000000001</v>
      </c>
    </row>
    <row r="23" spans="1:22" x14ac:dyDescent="0.3">
      <c r="A23" s="58">
        <v>2023</v>
      </c>
      <c r="B23" s="56">
        <v>308578</v>
      </c>
      <c r="C23" s="59">
        <v>0.54400000000000004</v>
      </c>
      <c r="D23" s="59">
        <v>0.47199999999999998</v>
      </c>
      <c r="E23" s="59">
        <v>7.1999999999999995E-2</v>
      </c>
      <c r="F23" s="59">
        <v>0.23200000000000001</v>
      </c>
      <c r="G23" s="59">
        <v>0.312</v>
      </c>
      <c r="H23" s="59">
        <v>0.49</v>
      </c>
      <c r="I23" s="59">
        <v>5.3999999999999999E-2</v>
      </c>
      <c r="N23" s="58">
        <v>2023</v>
      </c>
      <c r="O23" s="56">
        <v>443985</v>
      </c>
      <c r="P23" s="59">
        <v>0.751</v>
      </c>
      <c r="Q23" s="59">
        <v>0.58899999999999997</v>
      </c>
      <c r="R23" s="59">
        <v>0.161</v>
      </c>
      <c r="S23" s="59">
        <v>0.14799999999999999</v>
      </c>
      <c r="T23" s="59">
        <v>0.60299999999999998</v>
      </c>
      <c r="U23" s="59">
        <v>0.52600000000000002</v>
      </c>
      <c r="V23" s="59">
        <v>0.22500000000000001</v>
      </c>
    </row>
    <row r="26" spans="1:22" x14ac:dyDescent="0.3">
      <c r="A26" s="61" t="str">
        <f>CONCATENATE("Table 23a. College Enrollment Rates in the First Two Years after High School Graduation for Classes ",A28," and ",A29,", School Percentile Distribution")</f>
        <v>Table 23a. College Enrollment Rates in the First Two Years after High School Graduation for Classes 2021 and 2022, School Percentile Distribution</v>
      </c>
      <c r="B26" s="54"/>
      <c r="N26" s="61" t="str">
        <f>CONCATENATE("Table 23b. College Enrollment Rates in the First Two Years after High School Graduation for Classes ",N28," and ",N29,", School Percentile Distribution")</f>
        <v>Table 23b. College Enrollment Rates in the First Two Years after High School Graduation for Classes 2021 and 2022, School Percentile Distribution</v>
      </c>
      <c r="O26" s="54"/>
    </row>
    <row r="27" spans="1:22" ht="28.8" x14ac:dyDescent="0.3">
      <c r="A27" s="55"/>
      <c r="B27" s="56" t="s">
        <v>37</v>
      </c>
      <c r="C27" s="57" t="s">
        <v>38</v>
      </c>
      <c r="D27" s="57" t="s">
        <v>39</v>
      </c>
      <c r="E27" s="57" t="s">
        <v>40</v>
      </c>
      <c r="N27" s="55"/>
      <c r="O27" s="56" t="s">
        <v>37</v>
      </c>
      <c r="P27" s="57" t="s">
        <v>38</v>
      </c>
      <c r="Q27" s="57" t="s">
        <v>39</v>
      </c>
      <c r="R27" s="57" t="s">
        <v>40</v>
      </c>
    </row>
    <row r="28" spans="1:22" x14ac:dyDescent="0.3">
      <c r="A28" s="58">
        <v>2021</v>
      </c>
      <c r="B28" s="56">
        <v>1437</v>
      </c>
      <c r="C28" s="59">
        <v>0.41049999999999998</v>
      </c>
      <c r="D28" s="59">
        <v>0.52</v>
      </c>
      <c r="E28" s="59">
        <v>0.626</v>
      </c>
      <c r="N28" s="58">
        <v>2021</v>
      </c>
      <c r="O28" s="56">
        <v>1777</v>
      </c>
      <c r="P28" s="59">
        <v>0.65810000000000002</v>
      </c>
      <c r="Q28" s="59">
        <v>0.75900000000000001</v>
      </c>
      <c r="R28" s="59">
        <v>0.84699999999999998</v>
      </c>
    </row>
    <row r="29" spans="1:22" x14ac:dyDescent="0.3">
      <c r="A29" s="58">
        <v>2022</v>
      </c>
      <c r="B29" s="56">
        <v>1368</v>
      </c>
      <c r="C29" s="59">
        <v>0.40810000000000002</v>
      </c>
      <c r="D29" s="59">
        <v>0.52300000000000002</v>
      </c>
      <c r="E29" s="59">
        <v>0.65100000000000002</v>
      </c>
      <c r="N29" s="58">
        <v>2022</v>
      </c>
      <c r="O29" s="56">
        <v>2207</v>
      </c>
      <c r="P29" s="59">
        <v>0.62419999999999998</v>
      </c>
      <c r="Q29" s="59">
        <v>0.73299999999999998</v>
      </c>
      <c r="R29" s="59">
        <v>0.83</v>
      </c>
    </row>
    <row r="30" spans="1:22" x14ac:dyDescent="0.3">
      <c r="B30" s="54"/>
      <c r="O30" s="54"/>
    </row>
    <row r="31" spans="1:22" x14ac:dyDescent="0.3">
      <c r="A31" s="61" t="str">
        <f>CONCATENATE("Table 24a. College Enrollment Rates in the First Two Years after High School Graduation for Classes ",A33," and ",A34,", Student-Weighted Totals")</f>
        <v>Table 24a. College Enrollment Rates in the First Two Years after High School Graduation for Classes 2021 and 2022, Student-Weighted Totals</v>
      </c>
      <c r="B31" s="54"/>
      <c r="N31" s="61" t="str">
        <f>CONCATENATE("Table 24b. College Enrollment Rates in the First Two Years after High School Graduation for Classes ",N33," and ",N34,", Student-Weighted Totals")</f>
        <v>Table 24b. College Enrollment Rates in the First Two Years after High School Graduation for Classes 2021 and 2022, Student-Weighted Totals</v>
      </c>
      <c r="O31" s="54"/>
    </row>
    <row r="32" spans="1:22" ht="28.8" x14ac:dyDescent="0.3">
      <c r="A32" s="55"/>
      <c r="B32" s="56" t="s">
        <v>41</v>
      </c>
      <c r="C32" s="57" t="s">
        <v>42</v>
      </c>
      <c r="D32" s="57" t="s">
        <v>18</v>
      </c>
      <c r="E32" s="57" t="s">
        <v>19</v>
      </c>
      <c r="F32" s="57" t="s">
        <v>43</v>
      </c>
      <c r="G32" s="57" t="s">
        <v>44</v>
      </c>
      <c r="H32" s="57" t="s">
        <v>45</v>
      </c>
      <c r="I32" s="57" t="s">
        <v>46</v>
      </c>
      <c r="N32" s="55"/>
      <c r="O32" s="56" t="s">
        <v>41</v>
      </c>
      <c r="P32" s="57" t="s">
        <v>42</v>
      </c>
      <c r="Q32" s="57" t="s">
        <v>18</v>
      </c>
      <c r="R32" s="57" t="s">
        <v>19</v>
      </c>
      <c r="S32" s="57" t="s">
        <v>43</v>
      </c>
      <c r="T32" s="57" t="s">
        <v>44</v>
      </c>
      <c r="U32" s="57" t="s">
        <v>45</v>
      </c>
      <c r="V32" s="57" t="s">
        <v>46</v>
      </c>
    </row>
    <row r="33" spans="1:22" x14ac:dyDescent="0.3">
      <c r="A33" s="58">
        <v>2021</v>
      </c>
      <c r="B33" s="56">
        <v>261427</v>
      </c>
      <c r="C33" s="59">
        <v>0.54</v>
      </c>
      <c r="D33" s="59">
        <v>0.47299999999999998</v>
      </c>
      <c r="E33" s="59">
        <v>6.6000000000000003E-2</v>
      </c>
      <c r="F33" s="59">
        <v>0.24199999999999999</v>
      </c>
      <c r="G33" s="59">
        <v>0.29799999999999999</v>
      </c>
      <c r="H33" s="59">
        <v>0.48099999999999998</v>
      </c>
      <c r="I33" s="59">
        <v>5.8000000000000003E-2</v>
      </c>
      <c r="N33" s="58">
        <v>2021</v>
      </c>
      <c r="O33" s="56">
        <v>443941</v>
      </c>
      <c r="P33" s="59">
        <v>0.78</v>
      </c>
      <c r="Q33" s="59">
        <v>0.60599999999999998</v>
      </c>
      <c r="R33" s="59">
        <v>0.17399999999999999</v>
      </c>
      <c r="S33" s="59">
        <v>0.182</v>
      </c>
      <c r="T33" s="59">
        <v>0.59899999999999998</v>
      </c>
      <c r="U33" s="59">
        <v>0.54700000000000004</v>
      </c>
      <c r="V33" s="59">
        <v>0.23400000000000001</v>
      </c>
    </row>
    <row r="34" spans="1:22" x14ac:dyDescent="0.3">
      <c r="A34" s="58">
        <v>2022</v>
      </c>
      <c r="B34" s="56">
        <v>251442</v>
      </c>
      <c r="C34" s="59">
        <v>0.56100000000000005</v>
      </c>
      <c r="D34" s="59">
        <v>0.49</v>
      </c>
      <c r="E34" s="59">
        <v>7.0999999999999994E-2</v>
      </c>
      <c r="F34" s="59">
        <v>0.26</v>
      </c>
      <c r="G34" s="59">
        <v>0.30099999999999999</v>
      </c>
      <c r="H34" s="59">
        <v>0.50600000000000001</v>
      </c>
      <c r="I34" s="59">
        <v>5.5E-2</v>
      </c>
      <c r="N34" s="58">
        <v>2022</v>
      </c>
      <c r="O34" s="56">
        <v>526635</v>
      </c>
      <c r="P34" s="59">
        <v>0.76700000000000002</v>
      </c>
      <c r="Q34" s="59">
        <v>0.6</v>
      </c>
      <c r="R34" s="59">
        <v>0.16700000000000001</v>
      </c>
      <c r="S34" s="59">
        <v>0.188</v>
      </c>
      <c r="T34" s="59">
        <v>0.57899999999999996</v>
      </c>
      <c r="U34" s="59">
        <v>0.53</v>
      </c>
      <c r="V34" s="59">
        <v>0.23699999999999999</v>
      </c>
    </row>
    <row r="37" spans="1:22" x14ac:dyDescent="0.3">
      <c r="A37" s="61" t="str">
        <f>CONCATENATE("Table 25a. Persistence Rates from First to Second Year of College for Class of ",A39," and ",A40,", School Percentile Distribution")</f>
        <v>Table 25a. Persistence Rates from First to Second Year of College for Class of 2021 and 2022, School Percentile Distribution</v>
      </c>
      <c r="B37" s="54"/>
      <c r="N37" s="61" t="str">
        <f>CONCATENATE("Table 25b. Persistence Rates from First to Second Year of College for Class of ",N39," and ",N40,", School Percentile Distribution")</f>
        <v>Table 25b. Persistence Rates from First to Second Year of College for Class of 2021 and 2022, School Percentile Distribution</v>
      </c>
      <c r="O37" s="54"/>
    </row>
    <row r="38" spans="1:22" ht="28.8" x14ac:dyDescent="0.3">
      <c r="A38" s="55"/>
      <c r="B38" s="56" t="s">
        <v>37</v>
      </c>
      <c r="C38" s="57" t="s">
        <v>38</v>
      </c>
      <c r="D38" s="57" t="s">
        <v>39</v>
      </c>
      <c r="E38" s="57" t="s">
        <v>40</v>
      </c>
      <c r="N38" s="55"/>
      <c r="O38" s="56" t="s">
        <v>37</v>
      </c>
      <c r="P38" s="57" t="s">
        <v>38</v>
      </c>
      <c r="Q38" s="57" t="s">
        <v>39</v>
      </c>
      <c r="R38" s="57" t="s">
        <v>40</v>
      </c>
    </row>
    <row r="39" spans="1:22" x14ac:dyDescent="0.3">
      <c r="A39" s="58">
        <v>2021</v>
      </c>
      <c r="B39" s="62">
        <v>1437</v>
      </c>
      <c r="C39" s="68">
        <v>0.65600000000000003</v>
      </c>
      <c r="D39" s="68">
        <v>0.73299999999999998</v>
      </c>
      <c r="E39" s="68">
        <v>0.79600000000000004</v>
      </c>
      <c r="N39" s="58">
        <v>2021</v>
      </c>
      <c r="O39" s="62">
        <v>1777</v>
      </c>
      <c r="P39" s="68">
        <v>0.83799999999999997</v>
      </c>
      <c r="Q39" s="68">
        <v>0.89100000000000001</v>
      </c>
      <c r="R39" s="68">
        <v>0.92800000000000005</v>
      </c>
    </row>
    <row r="40" spans="1:22" x14ac:dyDescent="0.3">
      <c r="A40" s="58">
        <v>2022</v>
      </c>
      <c r="B40" s="62">
        <v>1368</v>
      </c>
      <c r="C40" s="68">
        <v>0.63600000000000001</v>
      </c>
      <c r="D40" s="68">
        <v>0.71699999999999997</v>
      </c>
      <c r="E40" s="68">
        <v>0.79300000000000004</v>
      </c>
      <c r="N40" s="58">
        <v>2022</v>
      </c>
      <c r="O40" s="62">
        <v>2207</v>
      </c>
      <c r="P40" s="68">
        <v>0.83299999999999996</v>
      </c>
      <c r="Q40" s="68">
        <v>0.89300000000000002</v>
      </c>
      <c r="R40" s="68">
        <v>0.93200000000000005</v>
      </c>
    </row>
    <row r="41" spans="1:22" x14ac:dyDescent="0.3">
      <c r="B41" s="54"/>
      <c r="O41" s="54"/>
    </row>
    <row r="42" spans="1:22" x14ac:dyDescent="0.3">
      <c r="A42" s="61" t="str">
        <f>CONCATENATE("Table 26a. Persistence Rates from First to Second Year of College for Class of ",A44," and ",A45,", Student-Weighted Totals")</f>
        <v>Table 26a. Persistence Rates from First to Second Year of College for Class of 2021 and 2022, Student-Weighted Totals</v>
      </c>
      <c r="B42" s="54"/>
      <c r="N42" s="61" t="str">
        <f>CONCATENATE("Table 26b. Persistence Rates from First to Second Year of College for Class of ",N44," and ",N45,", Student-Weighted Totals")</f>
        <v>Table 26b. Persistence Rates from First to Second Year of College for Class of 2021 and 2022, Student-Weighted Totals</v>
      </c>
      <c r="O42" s="54"/>
    </row>
    <row r="43" spans="1:22" ht="43.2" x14ac:dyDescent="0.3">
      <c r="A43" s="55"/>
      <c r="B43" s="56" t="s">
        <v>47</v>
      </c>
      <c r="C43" s="57" t="s">
        <v>42</v>
      </c>
      <c r="D43" s="57" t="s">
        <v>18</v>
      </c>
      <c r="E43" s="57" t="s">
        <v>19</v>
      </c>
      <c r="F43" s="57" t="s">
        <v>43</v>
      </c>
      <c r="G43" s="57" t="s">
        <v>44</v>
      </c>
      <c r="H43" s="57" t="s">
        <v>45</v>
      </c>
      <c r="I43" s="57" t="s">
        <v>46</v>
      </c>
      <c r="N43" s="55"/>
      <c r="O43" s="56" t="s">
        <v>47</v>
      </c>
      <c r="P43" s="57" t="s">
        <v>42</v>
      </c>
      <c r="Q43" s="57" t="s">
        <v>18</v>
      </c>
      <c r="R43" s="57" t="s">
        <v>19</v>
      </c>
      <c r="S43" s="57" t="s">
        <v>43</v>
      </c>
      <c r="T43" s="57" t="s">
        <v>44</v>
      </c>
      <c r="U43" s="57" t="s">
        <v>45</v>
      </c>
      <c r="V43" s="57" t="s">
        <v>46</v>
      </c>
    </row>
    <row r="44" spans="1:22" x14ac:dyDescent="0.3">
      <c r="A44" s="58">
        <v>2021</v>
      </c>
      <c r="B44" s="56">
        <v>128647</v>
      </c>
      <c r="C44" s="59">
        <v>0.755</v>
      </c>
      <c r="D44" s="59">
        <v>0.749</v>
      </c>
      <c r="E44" s="59">
        <v>0.79400000000000004</v>
      </c>
      <c r="F44" s="59">
        <v>0.67100000000000004</v>
      </c>
      <c r="G44" s="59">
        <v>0.81699999999999995</v>
      </c>
      <c r="H44" s="59">
        <v>0.752</v>
      </c>
      <c r="I44" s="59">
        <v>0.77800000000000002</v>
      </c>
      <c r="N44" s="58">
        <v>2021</v>
      </c>
      <c r="O44" s="56">
        <v>330778</v>
      </c>
      <c r="P44" s="59">
        <v>0.90200000000000002</v>
      </c>
      <c r="Q44" s="59">
        <v>0.89100000000000001</v>
      </c>
      <c r="R44" s="59">
        <v>0.94</v>
      </c>
      <c r="S44" s="59">
        <v>0.76700000000000002</v>
      </c>
      <c r="T44" s="59">
        <v>0.94</v>
      </c>
      <c r="U44" s="59">
        <v>0.88600000000000001</v>
      </c>
      <c r="V44" s="59">
        <v>0.94</v>
      </c>
    </row>
    <row r="45" spans="1:22" x14ac:dyDescent="0.3">
      <c r="A45" s="58">
        <v>2022</v>
      </c>
      <c r="B45" s="56">
        <v>131060</v>
      </c>
      <c r="C45" s="59">
        <v>0.74399999999999999</v>
      </c>
      <c r="D45" s="59">
        <v>0.73699999999999999</v>
      </c>
      <c r="E45" s="59">
        <v>0.79100000000000004</v>
      </c>
      <c r="F45" s="59">
        <v>0.65100000000000002</v>
      </c>
      <c r="G45" s="59">
        <v>0.81899999999999995</v>
      </c>
      <c r="H45" s="59">
        <v>0.74</v>
      </c>
      <c r="I45" s="59">
        <v>0.77600000000000002</v>
      </c>
      <c r="N45" s="58">
        <v>2022</v>
      </c>
      <c r="O45" s="56">
        <v>386069</v>
      </c>
      <c r="P45" s="59">
        <v>0.90400000000000003</v>
      </c>
      <c r="Q45" s="59">
        <v>0.89400000000000002</v>
      </c>
      <c r="R45" s="59">
        <v>0.93899999999999995</v>
      </c>
      <c r="S45" s="59">
        <v>0.76900000000000002</v>
      </c>
      <c r="T45" s="59">
        <v>0.94399999999999995</v>
      </c>
      <c r="U45" s="59">
        <v>0.88500000000000001</v>
      </c>
      <c r="V45" s="59">
        <v>0.94399999999999995</v>
      </c>
    </row>
    <row r="48" spans="1:22" x14ac:dyDescent="0.3">
      <c r="A48" s="61" t="str">
        <f>CONCATENATE("Table 27a. Six-Year Completion Rates for Class of ",,A50," and ",A51,", School Percentile Distribution")</f>
        <v>Table 27a. Six-Year Completion Rates for Class of 2017 and 2018, School Percentile Distribution</v>
      </c>
      <c r="B48" s="54"/>
      <c r="N48" s="61" t="str">
        <f>CONCATENATE("Table 27b. Six-Year Completion Rates for Class of ",N50," and ",N51,", School Percentile Distribution")</f>
        <v>Table 27b. Six-Year Completion Rates for Class of 2017 and 2018, School Percentile Distribution</v>
      </c>
      <c r="O48" s="54"/>
    </row>
    <row r="49" spans="1:22" ht="28.8" x14ac:dyDescent="0.3">
      <c r="A49" s="55"/>
      <c r="B49" s="56" t="s">
        <v>37</v>
      </c>
      <c r="C49" s="57" t="s">
        <v>38</v>
      </c>
      <c r="D49" s="57" t="s">
        <v>39</v>
      </c>
      <c r="E49" s="57" t="s">
        <v>40</v>
      </c>
      <c r="N49" s="55"/>
      <c r="O49" s="56" t="s">
        <v>37</v>
      </c>
      <c r="P49" s="57" t="s">
        <v>38</v>
      </c>
      <c r="Q49" s="57" t="s">
        <v>39</v>
      </c>
      <c r="R49" s="57" t="s">
        <v>40</v>
      </c>
    </row>
    <row r="50" spans="1:22" x14ac:dyDescent="0.3">
      <c r="A50" s="58">
        <v>2017</v>
      </c>
      <c r="B50" s="62">
        <v>1429</v>
      </c>
      <c r="C50" s="68">
        <v>0.13300000000000001</v>
      </c>
      <c r="D50" s="68">
        <v>0.221</v>
      </c>
      <c r="E50" s="68">
        <v>0.30099999999999999</v>
      </c>
      <c r="N50" s="58">
        <v>2017</v>
      </c>
      <c r="O50" s="62">
        <v>2142</v>
      </c>
      <c r="P50" s="68">
        <v>0.46600000000000003</v>
      </c>
      <c r="Q50" s="68">
        <v>0.55700000000000005</v>
      </c>
      <c r="R50" s="68">
        <v>0.65300000000000002</v>
      </c>
    </row>
    <row r="51" spans="1:22" x14ac:dyDescent="0.3">
      <c r="A51" s="58">
        <v>2018</v>
      </c>
      <c r="B51" s="62">
        <v>1533</v>
      </c>
      <c r="C51" s="68">
        <v>0.13</v>
      </c>
      <c r="D51" s="68">
        <v>0.222</v>
      </c>
      <c r="E51" s="68">
        <v>0.29599999999999999</v>
      </c>
      <c r="N51" s="58">
        <v>2018</v>
      </c>
      <c r="O51" s="62">
        <v>2158</v>
      </c>
      <c r="P51" s="68">
        <v>0.46</v>
      </c>
      <c r="Q51" s="68">
        <v>0.55600000000000005</v>
      </c>
      <c r="R51" s="68">
        <v>0.65400000000000003</v>
      </c>
    </row>
    <row r="52" spans="1:22" x14ac:dyDescent="0.3">
      <c r="A52" s="69"/>
      <c r="B52" s="70"/>
      <c r="C52" s="71"/>
      <c r="D52" s="71"/>
      <c r="E52" s="71"/>
      <c r="N52" s="69"/>
      <c r="O52" s="70"/>
      <c r="P52" s="71"/>
      <c r="Q52" s="71"/>
      <c r="R52" s="71"/>
    </row>
    <row r="53" spans="1:22" x14ac:dyDescent="0.3">
      <c r="A53" s="61" t="str">
        <f>CONCATENATE("Table 28a. Six-Year Completion Rates for Class of ",A55," and ",A56, ", Student-Weighted Totals")</f>
        <v>Table 28a. Six-Year Completion Rates for Class of 2017 and 2018, Student-Weighted Totals</v>
      </c>
      <c r="B53" s="54"/>
      <c r="N53" s="61" t="str">
        <f>CONCATENATE("Table 28b. Six-Year Completion Rates for Class of ",,N55," and ",N56, ", Student-Weighted Totals")</f>
        <v>Table 28b. Six-Year Completion Rates for Class of 2017 and 2018, Student-Weighted Totals</v>
      </c>
      <c r="O53" s="54"/>
    </row>
    <row r="54" spans="1:22" ht="28.8" x14ac:dyDescent="0.3">
      <c r="A54" s="55"/>
      <c r="B54" s="56" t="s">
        <v>41</v>
      </c>
      <c r="C54" s="57" t="s">
        <v>42</v>
      </c>
      <c r="D54" s="57" t="s">
        <v>18</v>
      </c>
      <c r="E54" s="57" t="s">
        <v>19</v>
      </c>
      <c r="F54" s="57" t="s">
        <v>43</v>
      </c>
      <c r="G54" s="57" t="s">
        <v>44</v>
      </c>
      <c r="H54" s="57" t="s">
        <v>45</v>
      </c>
      <c r="I54" s="57" t="s">
        <v>46</v>
      </c>
      <c r="N54" s="55"/>
      <c r="O54" s="56" t="s">
        <v>41</v>
      </c>
      <c r="P54" s="57" t="s">
        <v>42</v>
      </c>
      <c r="Q54" s="57" t="s">
        <v>18</v>
      </c>
      <c r="R54" s="57" t="s">
        <v>19</v>
      </c>
      <c r="S54" s="57" t="s">
        <v>43</v>
      </c>
      <c r="T54" s="57" t="s">
        <v>44</v>
      </c>
      <c r="U54" s="57" t="s">
        <v>45</v>
      </c>
      <c r="V54" s="57" t="s">
        <v>46</v>
      </c>
    </row>
    <row r="55" spans="1:22" x14ac:dyDescent="0.3">
      <c r="A55" s="58">
        <v>2017</v>
      </c>
      <c r="B55" s="63">
        <v>240378</v>
      </c>
      <c r="C55" s="64">
        <v>0.249</v>
      </c>
      <c r="D55" s="64">
        <v>0.20699999999999999</v>
      </c>
      <c r="E55" s="64">
        <v>4.2000000000000003E-2</v>
      </c>
      <c r="F55" s="64">
        <v>8.2000000000000003E-2</v>
      </c>
      <c r="G55" s="64">
        <v>0.16600000000000001</v>
      </c>
      <c r="H55" s="64">
        <v>0.222</v>
      </c>
      <c r="I55" s="64">
        <v>2.7E-2</v>
      </c>
      <c r="N55" s="58">
        <v>2017</v>
      </c>
      <c r="O55" s="63">
        <v>543066</v>
      </c>
      <c r="P55" s="64">
        <v>0.58799999999999997</v>
      </c>
      <c r="Q55" s="64">
        <v>0.436</v>
      </c>
      <c r="R55" s="64">
        <v>0.152</v>
      </c>
      <c r="S55" s="64">
        <v>8.4000000000000005E-2</v>
      </c>
      <c r="T55" s="64">
        <v>0.504</v>
      </c>
      <c r="U55" s="64">
        <v>0.41299999999999998</v>
      </c>
      <c r="V55" s="64">
        <v>0.17399999999999999</v>
      </c>
    </row>
    <row r="56" spans="1:22" x14ac:dyDescent="0.3">
      <c r="A56" s="58">
        <v>2018</v>
      </c>
      <c r="B56" s="63">
        <v>261934</v>
      </c>
      <c r="C56" s="64">
        <v>0.249</v>
      </c>
      <c r="D56" s="64">
        <v>0.20699999999999999</v>
      </c>
      <c r="E56" s="64">
        <v>4.2000000000000003E-2</v>
      </c>
      <c r="F56" s="64">
        <v>8.5000000000000006E-2</v>
      </c>
      <c r="G56" s="64">
        <v>0.16400000000000001</v>
      </c>
      <c r="H56" s="64">
        <v>0.223</v>
      </c>
      <c r="I56" s="64">
        <v>2.5999999999999999E-2</v>
      </c>
      <c r="N56" s="58">
        <v>2018</v>
      </c>
      <c r="O56" s="63">
        <v>561866</v>
      </c>
      <c r="P56" s="64">
        <v>0.58699999999999997</v>
      </c>
      <c r="Q56" s="64">
        <v>0.435</v>
      </c>
      <c r="R56" s="64">
        <v>0.151</v>
      </c>
      <c r="S56" s="64">
        <v>8.2000000000000003E-2</v>
      </c>
      <c r="T56" s="64">
        <v>0.504</v>
      </c>
      <c r="U56" s="64">
        <v>0.40699999999999997</v>
      </c>
      <c r="V56" s="64">
        <v>0.18</v>
      </c>
    </row>
  </sheetData>
  <mergeCells count="2">
    <mergeCell ref="A2:L2"/>
    <mergeCell ref="N2:Y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8661-B613-490D-BB50-3EB022329721}">
  <dimension ref="A1:Y56"/>
  <sheetViews>
    <sheetView zoomScale="80" zoomScaleNormal="80" workbookViewId="0">
      <selection activeCell="A53" sqref="A53:XFD53"/>
    </sheetView>
  </sheetViews>
  <sheetFormatPr defaultRowHeight="14.4" x14ac:dyDescent="0.3"/>
  <cols>
    <col min="2" max="2" width="14.5546875" customWidth="1"/>
    <col min="3" max="3" width="11.5546875" customWidth="1"/>
    <col min="4" max="4" width="10.5546875" customWidth="1"/>
    <col min="5" max="5" width="11.6640625" customWidth="1"/>
    <col min="13" max="13" width="13.6640625" customWidth="1"/>
    <col min="15" max="15" width="13.33203125" customWidth="1"/>
    <col min="16" max="16" width="11.5546875" customWidth="1"/>
    <col min="17" max="17" width="10.33203125" customWidth="1"/>
    <col min="18" max="18" width="10.109375" customWidth="1"/>
  </cols>
  <sheetData>
    <row r="1" spans="1:25" ht="28.8" x14ac:dyDescent="0.3">
      <c r="A1" s="49" t="s">
        <v>48</v>
      </c>
      <c r="B1" s="50"/>
      <c r="C1" s="50"/>
      <c r="D1" s="50"/>
      <c r="E1" s="50"/>
      <c r="F1" s="50"/>
      <c r="G1" s="50"/>
      <c r="H1" s="50"/>
      <c r="I1" s="50"/>
      <c r="J1" s="50"/>
      <c r="K1" s="50"/>
      <c r="L1" s="50"/>
      <c r="M1" s="50"/>
      <c r="N1" s="50"/>
      <c r="O1" s="50"/>
      <c r="P1" s="50"/>
      <c r="Q1" s="50"/>
      <c r="R1" s="50"/>
      <c r="S1" s="50"/>
      <c r="T1" s="50"/>
      <c r="U1" s="50"/>
      <c r="V1" s="50"/>
      <c r="W1" s="50"/>
      <c r="X1" s="50"/>
      <c r="Y1" s="50"/>
    </row>
    <row r="2" spans="1:25" ht="18" x14ac:dyDescent="0.3">
      <c r="A2" s="109" t="s">
        <v>125</v>
      </c>
      <c r="B2" s="110"/>
      <c r="C2" s="110"/>
      <c r="D2" s="110"/>
      <c r="E2" s="110"/>
      <c r="F2" s="110"/>
      <c r="G2" s="110"/>
      <c r="H2" s="110"/>
      <c r="I2" s="110"/>
      <c r="J2" s="110"/>
      <c r="K2" s="110"/>
      <c r="L2" s="110"/>
      <c r="M2" s="51"/>
      <c r="N2" s="109" t="s">
        <v>126</v>
      </c>
      <c r="O2" s="110"/>
      <c r="P2" s="110"/>
      <c r="Q2" s="110"/>
      <c r="R2" s="110"/>
      <c r="S2" s="110"/>
      <c r="T2" s="110"/>
      <c r="U2" s="110"/>
      <c r="V2" s="110"/>
      <c r="W2" s="110"/>
      <c r="X2" s="110"/>
      <c r="Y2" s="110"/>
    </row>
    <row r="3" spans="1:25" x14ac:dyDescent="0.3">
      <c r="A3" s="52"/>
      <c r="B3" s="52"/>
      <c r="C3" s="52"/>
      <c r="D3" s="52"/>
      <c r="E3" s="52"/>
      <c r="F3" s="52"/>
      <c r="G3" s="52"/>
      <c r="H3" s="52"/>
      <c r="I3" s="52"/>
      <c r="J3" s="52"/>
      <c r="K3" s="52"/>
      <c r="L3" s="52"/>
      <c r="M3" s="53"/>
      <c r="N3" s="52"/>
      <c r="O3" s="52"/>
      <c r="P3" s="52"/>
      <c r="Q3" s="52"/>
      <c r="R3" s="52"/>
      <c r="S3" s="52"/>
      <c r="T3" s="52"/>
      <c r="U3" s="52"/>
      <c r="V3" s="52"/>
      <c r="W3" s="52"/>
      <c r="X3" s="52"/>
      <c r="Y3" s="52"/>
    </row>
    <row r="4" spans="1:25" x14ac:dyDescent="0.3">
      <c r="A4" s="2" t="str">
        <f>CONCATENATE("Table 29a. College Enrollment Rates in the First Fall after High School Graduation for Classes ",A6," and ",A7,", School Percentile Distribution")</f>
        <v>Table 29a. College Enrollment Rates in the First Fall after High School Graduation for Classes 2023 and 2024, School Percentile Distribution</v>
      </c>
      <c r="B4" s="54"/>
      <c r="N4" s="2" t="str">
        <f>CONCATENATE("Table 29b. College Enrollment Rates in the First Fall after High School Graduation for Classes ",N6," and ",N7,", School Percentile Distribution")</f>
        <v>Table 29b. College Enrollment Rates in the First Fall after High School Graduation for Classes 2023 and 2024, School Percentile Distribution</v>
      </c>
      <c r="O4" s="54"/>
    </row>
    <row r="5" spans="1:25" ht="28.8" x14ac:dyDescent="0.3">
      <c r="A5" s="55"/>
      <c r="B5" s="56" t="s">
        <v>37</v>
      </c>
      <c r="C5" s="57" t="s">
        <v>38</v>
      </c>
      <c r="D5" s="57" t="s">
        <v>39</v>
      </c>
      <c r="E5" s="57" t="s">
        <v>40</v>
      </c>
      <c r="N5" s="55"/>
      <c r="O5" s="56" t="s">
        <v>37</v>
      </c>
      <c r="P5" s="57" t="s">
        <v>38</v>
      </c>
      <c r="Q5" s="57" t="s">
        <v>39</v>
      </c>
      <c r="R5" s="57" t="s">
        <v>40</v>
      </c>
    </row>
    <row r="6" spans="1:25" x14ac:dyDescent="0.3">
      <c r="A6" s="58">
        <v>2023</v>
      </c>
      <c r="B6" s="56">
        <v>4257</v>
      </c>
      <c r="C6" s="59">
        <v>0.373</v>
      </c>
      <c r="D6" s="59">
        <v>0.47899999999999998</v>
      </c>
      <c r="E6" s="59">
        <v>0.59</v>
      </c>
      <c r="G6" s="60"/>
      <c r="I6" s="60"/>
      <c r="N6" s="58">
        <v>2023</v>
      </c>
      <c r="O6" s="56">
        <v>6884</v>
      </c>
      <c r="P6" s="59">
        <v>0.46600000000000003</v>
      </c>
      <c r="Q6" s="59">
        <v>0.58799999999999997</v>
      </c>
      <c r="R6" s="59">
        <v>0.70899999999999996</v>
      </c>
      <c r="T6" s="60"/>
      <c r="V6" s="60"/>
    </row>
    <row r="7" spans="1:25" x14ac:dyDescent="0.3">
      <c r="A7" s="58">
        <v>2024</v>
      </c>
      <c r="B7" s="56">
        <v>3987</v>
      </c>
      <c r="C7" s="59">
        <v>0.373</v>
      </c>
      <c r="D7" s="59">
        <v>0.47599999999999998</v>
      </c>
      <c r="E7" s="59">
        <v>0.59</v>
      </c>
      <c r="N7" s="58">
        <v>2024</v>
      </c>
      <c r="O7" s="56">
        <v>5567</v>
      </c>
      <c r="P7" s="59">
        <v>0.47499999999999998</v>
      </c>
      <c r="Q7" s="59">
        <v>0.59</v>
      </c>
      <c r="R7" s="59">
        <v>0.70699999999999996</v>
      </c>
    </row>
    <row r="8" spans="1:25" x14ac:dyDescent="0.3">
      <c r="B8" s="54"/>
      <c r="O8" s="54"/>
    </row>
    <row r="9" spans="1:25" x14ac:dyDescent="0.3">
      <c r="A9" s="2" t="str">
        <f>CONCATENATE("Table 30a. College Enrollment Rates in the First Fall after High School Graduation for Classes ",A11," and ",A12,", Student-Weighted Totals")</f>
        <v>Table 30a. College Enrollment Rates in the First Fall after High School Graduation for Classes 2023 and 2024, Student-Weighted Totals</v>
      </c>
      <c r="B9" s="54"/>
      <c r="N9" s="2" t="str">
        <f>CONCATENATE("Table 30b. College Enrollment Rates in the First Fall after High School Graduation for Classes ",N11," and ",N12,", Student-Weighted Totals")</f>
        <v>Table 30b. College Enrollment Rates in the First Fall after High School Graduation for Classes 2023 and 2024, Student-Weighted Totals</v>
      </c>
      <c r="O9" s="54"/>
    </row>
    <row r="10" spans="1:25" ht="28.8" x14ac:dyDescent="0.3">
      <c r="A10" s="55"/>
      <c r="B10" s="56" t="s">
        <v>41</v>
      </c>
      <c r="C10" s="57" t="s">
        <v>42</v>
      </c>
      <c r="D10" s="57" t="s">
        <v>18</v>
      </c>
      <c r="E10" s="57" t="s">
        <v>19</v>
      </c>
      <c r="F10" s="57" t="s">
        <v>43</v>
      </c>
      <c r="G10" s="57" t="s">
        <v>44</v>
      </c>
      <c r="H10" s="57" t="s">
        <v>45</v>
      </c>
      <c r="I10" s="57" t="s">
        <v>46</v>
      </c>
      <c r="N10" s="55"/>
      <c r="O10" s="56" t="s">
        <v>41</v>
      </c>
      <c r="P10" s="57" t="s">
        <v>42</v>
      </c>
      <c r="Q10" s="57" t="s">
        <v>18</v>
      </c>
      <c r="R10" s="57" t="s">
        <v>19</v>
      </c>
      <c r="S10" s="57" t="s">
        <v>43</v>
      </c>
      <c r="T10" s="57" t="s">
        <v>44</v>
      </c>
      <c r="U10" s="57" t="s">
        <v>45</v>
      </c>
      <c r="V10" s="57" t="s">
        <v>46</v>
      </c>
    </row>
    <row r="11" spans="1:25" x14ac:dyDescent="0.3">
      <c r="A11" s="58">
        <v>2023</v>
      </c>
      <c r="B11" s="56">
        <v>762451</v>
      </c>
      <c r="C11" s="59">
        <v>0.52100000000000002</v>
      </c>
      <c r="D11" s="59">
        <v>0.44800000000000001</v>
      </c>
      <c r="E11" s="59">
        <v>7.2999999999999995E-2</v>
      </c>
      <c r="F11" s="59">
        <v>0.20699999999999999</v>
      </c>
      <c r="G11" s="59">
        <v>0.314</v>
      </c>
      <c r="H11" s="59">
        <v>0.46100000000000002</v>
      </c>
      <c r="I11" s="59">
        <v>0.06</v>
      </c>
      <c r="N11" s="58">
        <v>2023</v>
      </c>
      <c r="O11" s="56">
        <v>1295166</v>
      </c>
      <c r="P11" s="59">
        <v>0.64400000000000002</v>
      </c>
      <c r="Q11" s="59">
        <v>0.50900000000000001</v>
      </c>
      <c r="R11" s="59">
        <v>0.13500000000000001</v>
      </c>
      <c r="S11" s="59">
        <v>0.157</v>
      </c>
      <c r="T11" s="59">
        <v>0.48599999999999999</v>
      </c>
      <c r="U11" s="59">
        <v>0.48099999999999998</v>
      </c>
      <c r="V11" s="59">
        <v>0.16300000000000001</v>
      </c>
    </row>
    <row r="12" spans="1:25" x14ac:dyDescent="0.3">
      <c r="A12" s="58">
        <v>2024</v>
      </c>
      <c r="B12" s="56">
        <v>733792</v>
      </c>
      <c r="C12" s="59">
        <v>0.52300000000000002</v>
      </c>
      <c r="D12" s="59">
        <v>0.45600000000000002</v>
      </c>
      <c r="E12" s="59">
        <v>6.8000000000000005E-2</v>
      </c>
      <c r="F12" s="59">
        <v>0.21299999999999999</v>
      </c>
      <c r="G12" s="59">
        <v>0.311</v>
      </c>
      <c r="H12" s="59">
        <v>0.46300000000000002</v>
      </c>
      <c r="I12" s="59">
        <v>6.0999999999999999E-2</v>
      </c>
      <c r="N12" s="58">
        <v>2024</v>
      </c>
      <c r="O12" s="56">
        <v>1085099</v>
      </c>
      <c r="P12" s="59">
        <v>0.64200000000000002</v>
      </c>
      <c r="Q12" s="59">
        <v>0.52</v>
      </c>
      <c r="R12" s="59">
        <v>0.122</v>
      </c>
      <c r="S12" s="59">
        <v>0.16600000000000001</v>
      </c>
      <c r="T12" s="59">
        <v>0.47599999999999998</v>
      </c>
      <c r="U12" s="59">
        <v>0.48599999999999999</v>
      </c>
      <c r="V12" s="59">
        <v>0.156</v>
      </c>
    </row>
    <row r="15" spans="1:25" x14ac:dyDescent="0.3">
      <c r="A15" s="61" t="str">
        <f>CONCATENATE("Table 31a. College Enrollment Rates in the First Year after High School Graduation for Classes ",A17," and ",A18,", School Percentile Distribution")</f>
        <v>Table 31a. College Enrollment Rates in the First Year after High School Graduation for Classes 2022 and 2023, School Percentile Distribution</v>
      </c>
      <c r="B15" s="54"/>
      <c r="N15" s="61" t="str">
        <f>CONCATENATE("Table 31b. College Enrollment Rates in the First Year after High School Graduation for Classes ",N17," and ",N18,", School Percentile Distribution")</f>
        <v>Table 31b. College Enrollment Rates in the First Year after High School Graduation for Classes 2022 and 2023, School Percentile Distribution</v>
      </c>
      <c r="O15" s="54"/>
    </row>
    <row r="16" spans="1:25" ht="28.8" x14ac:dyDescent="0.3">
      <c r="A16" s="55"/>
      <c r="B16" s="56" t="s">
        <v>37</v>
      </c>
      <c r="C16" s="56" t="s">
        <v>38</v>
      </c>
      <c r="D16" s="56" t="s">
        <v>39</v>
      </c>
      <c r="E16" s="56" t="s">
        <v>40</v>
      </c>
      <c r="N16" s="55"/>
      <c r="O16" s="56" t="s">
        <v>37</v>
      </c>
      <c r="P16" s="56" t="s">
        <v>38</v>
      </c>
      <c r="Q16" s="56" t="s">
        <v>39</v>
      </c>
      <c r="R16" s="56" t="s">
        <v>40</v>
      </c>
    </row>
    <row r="17" spans="1:22" x14ac:dyDescent="0.3">
      <c r="A17" s="58">
        <v>2022</v>
      </c>
      <c r="B17" s="56">
        <v>3187</v>
      </c>
      <c r="C17" s="59">
        <v>0.4</v>
      </c>
      <c r="D17" s="59">
        <v>0.502</v>
      </c>
      <c r="E17" s="59">
        <v>0.623</v>
      </c>
      <c r="N17" s="58">
        <v>2022</v>
      </c>
      <c r="O17" s="56">
        <v>8046</v>
      </c>
      <c r="P17" s="59">
        <v>0.47499999999999998</v>
      </c>
      <c r="Q17" s="59">
        <v>0.59</v>
      </c>
      <c r="R17" s="59">
        <v>0.71199999999999997</v>
      </c>
    </row>
    <row r="18" spans="1:22" x14ac:dyDescent="0.3">
      <c r="A18" s="58">
        <v>2023</v>
      </c>
      <c r="B18" s="56">
        <v>4257</v>
      </c>
      <c r="C18" s="59">
        <v>0.41</v>
      </c>
      <c r="D18" s="59">
        <v>0.51400000000000001</v>
      </c>
      <c r="E18" s="59">
        <v>0.622</v>
      </c>
      <c r="N18" s="58">
        <v>2023</v>
      </c>
      <c r="O18" s="56">
        <v>6884</v>
      </c>
      <c r="P18" s="59">
        <v>0.5</v>
      </c>
      <c r="Q18" s="59">
        <v>0.61399999999999999</v>
      </c>
      <c r="R18" s="59">
        <v>0.73499999999999999</v>
      </c>
    </row>
    <row r="19" spans="1:22" x14ac:dyDescent="0.3">
      <c r="B19" s="54"/>
      <c r="O19" s="54"/>
    </row>
    <row r="20" spans="1:22" x14ac:dyDescent="0.3">
      <c r="A20" s="61" t="str">
        <f>CONCATENATE("Table 32a. College Enrollment Rates in the First Year after High School Graduation for Classes ",A22," and ",A23,", Student-Weighted Totals")</f>
        <v>Table 32a. College Enrollment Rates in the First Year after High School Graduation for Classes 2022 and 2023, Student-Weighted Totals</v>
      </c>
      <c r="B20" s="54"/>
      <c r="N20" s="61" t="str">
        <f>CONCATENATE("Table 32b. College Enrollment Rates in the First Year after High School Graduation for Classes ",N22," and ",N23,", Student-Weighted Totals")</f>
        <v>Table 32b. College Enrollment Rates in the First Year after High School Graduation for Classes 2022 and 2023, Student-Weighted Totals</v>
      </c>
      <c r="O20" s="54"/>
    </row>
    <row r="21" spans="1:22" ht="28.8" x14ac:dyDescent="0.3">
      <c r="A21" s="55"/>
      <c r="B21" s="56" t="s">
        <v>41</v>
      </c>
      <c r="C21" s="57" t="s">
        <v>42</v>
      </c>
      <c r="D21" s="57" t="s">
        <v>18</v>
      </c>
      <c r="E21" s="57" t="s">
        <v>19</v>
      </c>
      <c r="F21" s="57" t="s">
        <v>43</v>
      </c>
      <c r="G21" s="57" t="s">
        <v>44</v>
      </c>
      <c r="H21" s="57" t="s">
        <v>45</v>
      </c>
      <c r="I21" s="57" t="s">
        <v>46</v>
      </c>
      <c r="N21" s="55"/>
      <c r="O21" s="56" t="s">
        <v>41</v>
      </c>
      <c r="P21" s="57" t="s">
        <v>42</v>
      </c>
      <c r="Q21" s="57" t="s">
        <v>18</v>
      </c>
      <c r="R21" s="57" t="s">
        <v>19</v>
      </c>
      <c r="S21" s="57" t="s">
        <v>43</v>
      </c>
      <c r="T21" s="57" t="s">
        <v>44</v>
      </c>
      <c r="U21" s="57" t="s">
        <v>45</v>
      </c>
      <c r="V21" s="57" t="s">
        <v>46</v>
      </c>
    </row>
    <row r="22" spans="1:22" x14ac:dyDescent="0.3">
      <c r="A22" s="58">
        <v>2022</v>
      </c>
      <c r="B22" s="56">
        <v>601437</v>
      </c>
      <c r="C22" s="59">
        <v>0.54600000000000004</v>
      </c>
      <c r="D22" s="59">
        <v>0.47399999999999998</v>
      </c>
      <c r="E22" s="59">
        <v>7.1999999999999995E-2</v>
      </c>
      <c r="F22" s="59">
        <v>0.23899999999999999</v>
      </c>
      <c r="G22" s="59">
        <v>0.307</v>
      </c>
      <c r="H22" s="59">
        <v>0.48399999999999999</v>
      </c>
      <c r="I22" s="59">
        <v>6.0999999999999999E-2</v>
      </c>
      <c r="N22" s="58">
        <v>2022</v>
      </c>
      <c r="O22" s="56">
        <v>1495284</v>
      </c>
      <c r="P22" s="59">
        <v>0.65400000000000003</v>
      </c>
      <c r="Q22" s="59">
        <v>0.51900000000000002</v>
      </c>
      <c r="R22" s="59">
        <v>0.13500000000000001</v>
      </c>
      <c r="S22" s="59">
        <v>0.17199999999999999</v>
      </c>
      <c r="T22" s="59">
        <v>0.48199999999999998</v>
      </c>
      <c r="U22" s="59">
        <v>0.49199999999999999</v>
      </c>
      <c r="V22" s="59">
        <v>0.16200000000000001</v>
      </c>
    </row>
    <row r="23" spans="1:22" x14ac:dyDescent="0.3">
      <c r="A23" s="58">
        <v>2023</v>
      </c>
      <c r="B23" s="56">
        <v>762451</v>
      </c>
      <c r="C23" s="59">
        <v>0.55900000000000005</v>
      </c>
      <c r="D23" s="59">
        <v>0.48199999999999998</v>
      </c>
      <c r="E23" s="59">
        <v>7.8E-2</v>
      </c>
      <c r="F23" s="59">
        <v>0.23</v>
      </c>
      <c r="G23" s="59">
        <v>0.33</v>
      </c>
      <c r="H23" s="59">
        <v>0.49399999999999999</v>
      </c>
      <c r="I23" s="59">
        <v>6.5000000000000002E-2</v>
      </c>
      <c r="N23" s="58">
        <v>2023</v>
      </c>
      <c r="O23" s="56">
        <v>1295166</v>
      </c>
      <c r="P23" s="59">
        <v>0.67200000000000004</v>
      </c>
      <c r="Q23" s="59">
        <v>0.53300000000000003</v>
      </c>
      <c r="R23" s="59">
        <v>0.13900000000000001</v>
      </c>
      <c r="S23" s="59">
        <v>0.17100000000000001</v>
      </c>
      <c r="T23" s="59">
        <v>0.501</v>
      </c>
      <c r="U23" s="59">
        <v>0.504</v>
      </c>
      <c r="V23" s="59">
        <v>0.16800000000000001</v>
      </c>
    </row>
    <row r="26" spans="1:22" x14ac:dyDescent="0.3">
      <c r="A26" s="61" t="str">
        <f>CONCATENATE("Table 33a. College Enrollment Rates in the First Two Years after High School Graduation for Classes ",A28," and ",A29,", School Percentile Distribution")</f>
        <v>Table 33a. College Enrollment Rates in the First Two Years after High School Graduation for Classes 2021 and 2022, School Percentile Distribution</v>
      </c>
      <c r="B26" s="54"/>
      <c r="N26" s="61" t="str">
        <f>CONCATENATE("Table 33b. College Enrollment Rates in the First Two Years after High School Graduation for Classes ",N28," and ",N29,", School Percentile Distribution")</f>
        <v>Table 33b. College Enrollment Rates in the First Two Years after High School Graduation for Classes 2021 and 2022, School Percentile Distribution</v>
      </c>
      <c r="O26" s="54"/>
    </row>
    <row r="27" spans="1:22" ht="28.8" x14ac:dyDescent="0.3">
      <c r="A27" s="55"/>
      <c r="B27" s="56" t="s">
        <v>37</v>
      </c>
      <c r="C27" s="57" t="s">
        <v>38</v>
      </c>
      <c r="D27" s="57" t="s">
        <v>39</v>
      </c>
      <c r="E27" s="57" t="s">
        <v>40</v>
      </c>
      <c r="N27" s="55"/>
      <c r="O27" s="56" t="s">
        <v>37</v>
      </c>
      <c r="P27" s="57" t="s">
        <v>38</v>
      </c>
      <c r="Q27" s="57" t="s">
        <v>39</v>
      </c>
      <c r="R27" s="57" t="s">
        <v>40</v>
      </c>
    </row>
    <row r="28" spans="1:22" x14ac:dyDescent="0.3">
      <c r="A28" s="58">
        <v>2021</v>
      </c>
      <c r="B28" s="56">
        <v>3444</v>
      </c>
      <c r="C28" s="59">
        <v>0.438</v>
      </c>
      <c r="D28" s="59">
        <v>0.54200000000000004</v>
      </c>
      <c r="E28" s="59">
        <v>0.64200000000000002</v>
      </c>
      <c r="G28" s="60"/>
      <c r="I28" s="60"/>
      <c r="N28" s="58">
        <v>2021</v>
      </c>
      <c r="O28" s="56">
        <v>7758</v>
      </c>
      <c r="P28" s="59">
        <v>0.52800000000000002</v>
      </c>
      <c r="Q28" s="59">
        <v>0.63800000000000001</v>
      </c>
      <c r="R28" s="59">
        <v>0.755</v>
      </c>
      <c r="T28" s="60"/>
      <c r="V28" s="60"/>
    </row>
    <row r="29" spans="1:22" x14ac:dyDescent="0.3">
      <c r="A29" s="58">
        <v>2022</v>
      </c>
      <c r="B29" s="56">
        <v>3187</v>
      </c>
      <c r="C29" s="59">
        <v>0.438</v>
      </c>
      <c r="D29" s="59">
        <v>0.54400000000000004</v>
      </c>
      <c r="E29" s="59">
        <v>0.66200000000000003</v>
      </c>
      <c r="N29" s="58">
        <v>2022</v>
      </c>
      <c r="O29" s="56">
        <v>8046</v>
      </c>
      <c r="P29" s="59">
        <v>0.51100000000000001</v>
      </c>
      <c r="Q29" s="59">
        <v>0.628</v>
      </c>
      <c r="R29" s="59">
        <v>0.75</v>
      </c>
    </row>
    <row r="30" spans="1:22" x14ac:dyDescent="0.3">
      <c r="B30" s="54"/>
      <c r="O30" s="54"/>
    </row>
    <row r="31" spans="1:22" x14ac:dyDescent="0.3">
      <c r="A31" s="2" t="str">
        <f>CONCATENATE("Table 34a. College Enrollment Rates in the First Two Years after High School Graduation for Classes ",A33," and ",A34,", Student-Weighted Totals")</f>
        <v>Table 34a. College Enrollment Rates in the First Two Years after High School Graduation for Classes 2021 and 2022, Student-Weighted Totals</v>
      </c>
      <c r="B31" s="54"/>
      <c r="N31" s="2" t="str">
        <f>CONCATENATE("Table 34b. College Enrollment Rates in the First Two Years after High School Graduation for Classes ",N33," and ",N34,", Student-Weighted Totals")</f>
        <v>Table 34b. College Enrollment Rates in the First Two Years after High School Graduation for Classes 2021 and 2022, Student-Weighted Totals</v>
      </c>
      <c r="O31" s="54"/>
    </row>
    <row r="32" spans="1:22" ht="28.8" x14ac:dyDescent="0.3">
      <c r="A32" s="55"/>
      <c r="B32" s="56" t="s">
        <v>41</v>
      </c>
      <c r="C32" s="57" t="s">
        <v>42</v>
      </c>
      <c r="D32" s="57" t="s">
        <v>18</v>
      </c>
      <c r="E32" s="57" t="s">
        <v>19</v>
      </c>
      <c r="F32" s="57" t="s">
        <v>43</v>
      </c>
      <c r="G32" s="57" t="s">
        <v>44</v>
      </c>
      <c r="H32" s="57" t="s">
        <v>45</v>
      </c>
      <c r="I32" s="57" t="s">
        <v>46</v>
      </c>
      <c r="N32" s="55"/>
      <c r="O32" s="56" t="s">
        <v>41</v>
      </c>
      <c r="P32" s="57" t="s">
        <v>42</v>
      </c>
      <c r="Q32" s="57" t="s">
        <v>18</v>
      </c>
      <c r="R32" s="57" t="s">
        <v>19</v>
      </c>
      <c r="S32" s="57" t="s">
        <v>43</v>
      </c>
      <c r="T32" s="57" t="s">
        <v>44</v>
      </c>
      <c r="U32" s="57" t="s">
        <v>45</v>
      </c>
      <c r="V32" s="57" t="s">
        <v>46</v>
      </c>
    </row>
    <row r="33" spans="1:22" x14ac:dyDescent="0.3">
      <c r="A33" s="58">
        <v>2021</v>
      </c>
      <c r="B33" s="56">
        <v>627601</v>
      </c>
      <c r="C33" s="59">
        <v>0.57099999999999995</v>
      </c>
      <c r="D33" s="59">
        <v>0.49299999999999999</v>
      </c>
      <c r="E33" s="59">
        <v>7.6999999999999999E-2</v>
      </c>
      <c r="F33" s="59">
        <v>0.24299999999999999</v>
      </c>
      <c r="G33" s="59">
        <v>0.32700000000000001</v>
      </c>
      <c r="H33" s="59">
        <v>0.498</v>
      </c>
      <c r="I33" s="59">
        <v>7.1999999999999995E-2</v>
      </c>
      <c r="N33" s="58">
        <v>2021</v>
      </c>
      <c r="O33" s="56">
        <v>1468426</v>
      </c>
      <c r="P33" s="59">
        <v>0.69199999999999995</v>
      </c>
      <c r="Q33" s="59">
        <v>0.54700000000000004</v>
      </c>
      <c r="R33" s="59">
        <v>0.14499999999999999</v>
      </c>
      <c r="S33" s="59">
        <v>0.19800000000000001</v>
      </c>
      <c r="T33" s="59">
        <v>0.49399999999999999</v>
      </c>
      <c r="U33" s="59">
        <v>0.52200000000000002</v>
      </c>
      <c r="V33" s="59">
        <v>0.17100000000000001</v>
      </c>
    </row>
    <row r="34" spans="1:22" x14ac:dyDescent="0.3">
      <c r="A34" s="58">
        <v>2022</v>
      </c>
      <c r="B34" s="56">
        <v>601437</v>
      </c>
      <c r="C34" s="59">
        <v>0.58699999999999997</v>
      </c>
      <c r="D34" s="59">
        <v>0.51</v>
      </c>
      <c r="E34" s="59">
        <v>7.6999999999999999E-2</v>
      </c>
      <c r="F34" s="59">
        <v>0.26700000000000002</v>
      </c>
      <c r="G34" s="59">
        <v>0.32</v>
      </c>
      <c r="H34" s="59">
        <v>0.51900000000000002</v>
      </c>
      <c r="I34" s="59">
        <v>6.8000000000000005E-2</v>
      </c>
      <c r="N34" s="58">
        <v>2022</v>
      </c>
      <c r="O34" s="56">
        <v>1495284</v>
      </c>
      <c r="P34" s="59">
        <v>0.69</v>
      </c>
      <c r="Q34" s="59">
        <v>0.55000000000000004</v>
      </c>
      <c r="R34" s="59">
        <v>0.14000000000000001</v>
      </c>
      <c r="S34" s="59">
        <v>0.19400000000000001</v>
      </c>
      <c r="T34" s="59">
        <v>0.497</v>
      </c>
      <c r="U34" s="59">
        <v>0.52</v>
      </c>
      <c r="V34" s="59">
        <v>0.17</v>
      </c>
    </row>
    <row r="37" spans="1:22" x14ac:dyDescent="0.3">
      <c r="A37" s="61" t="str">
        <f>CONCATENATE("Table 35a. Persistence Rates from First to Second Year of College for Class of ",A39," and ",A40,", School Percentile Distribution")</f>
        <v>Table 35a. Persistence Rates from First to Second Year of College for Class of 2021 and 2022, School Percentile Distribution</v>
      </c>
      <c r="B37" s="54"/>
      <c r="N37" s="61" t="str">
        <f>CONCATENATE("Table 35b. Persistence Rates from First to Second Year of College for Class of ",N39," and ",N40,", School Percentile Distribution")</f>
        <v>Table 35b. Persistence Rates from First to Second Year of College for Class of 2021 and 2022, School Percentile Distribution</v>
      </c>
      <c r="O37" s="54"/>
    </row>
    <row r="38" spans="1:22" ht="28.8" x14ac:dyDescent="0.3">
      <c r="A38" s="55"/>
      <c r="B38" s="56" t="s">
        <v>37</v>
      </c>
      <c r="C38" s="57" t="s">
        <v>38</v>
      </c>
      <c r="D38" s="57" t="s">
        <v>39</v>
      </c>
      <c r="E38" s="57" t="s">
        <v>40</v>
      </c>
      <c r="N38" s="55"/>
      <c r="O38" s="56" t="s">
        <v>37</v>
      </c>
      <c r="P38" s="57" t="s">
        <v>38</v>
      </c>
      <c r="Q38" s="57" t="s">
        <v>39</v>
      </c>
      <c r="R38" s="57" t="s">
        <v>40</v>
      </c>
    </row>
    <row r="39" spans="1:22" x14ac:dyDescent="0.3">
      <c r="A39" s="58">
        <v>2021</v>
      </c>
      <c r="B39" s="56">
        <v>3444</v>
      </c>
      <c r="C39" s="59">
        <v>0.68200000000000005</v>
      </c>
      <c r="D39" s="59">
        <v>0.75700000000000001</v>
      </c>
      <c r="E39" s="59">
        <v>0.82099999999999995</v>
      </c>
      <c r="G39" s="60"/>
      <c r="I39" s="60"/>
      <c r="N39" s="58">
        <v>2021</v>
      </c>
      <c r="O39" s="56">
        <v>7758</v>
      </c>
      <c r="P39" s="59">
        <v>0.76500000000000001</v>
      </c>
      <c r="Q39" s="59">
        <v>0.83699999999999997</v>
      </c>
      <c r="R39" s="59">
        <v>0.89500000000000002</v>
      </c>
      <c r="T39" s="60"/>
      <c r="V39" s="60"/>
    </row>
    <row r="40" spans="1:22" x14ac:dyDescent="0.3">
      <c r="A40" s="58">
        <v>2022</v>
      </c>
      <c r="B40" s="56">
        <v>3187</v>
      </c>
      <c r="C40" s="59">
        <v>0.66900000000000004</v>
      </c>
      <c r="D40" s="59">
        <v>0.755</v>
      </c>
      <c r="E40" s="59">
        <v>0.81899999999999995</v>
      </c>
      <c r="N40" s="58">
        <v>2022</v>
      </c>
      <c r="O40" s="56">
        <v>8046</v>
      </c>
      <c r="P40" s="59">
        <v>0.76800000000000002</v>
      </c>
      <c r="Q40" s="59">
        <v>0.84299999999999997</v>
      </c>
      <c r="R40" s="59">
        <v>0.90200000000000002</v>
      </c>
    </row>
    <row r="41" spans="1:22" x14ac:dyDescent="0.3">
      <c r="B41" s="54"/>
      <c r="O41" s="54"/>
    </row>
    <row r="42" spans="1:22" x14ac:dyDescent="0.3">
      <c r="A42" s="61" t="str">
        <f>CONCATENATE("Table 36a. Persistence Rates from First to Second Year of College for Class of ",A44," and ",A45,", Student-Weighted Totals")</f>
        <v>Table 36a. Persistence Rates from First to Second Year of College for Class of 2021 and 2022, Student-Weighted Totals</v>
      </c>
      <c r="B42" s="54"/>
      <c r="N42" s="61" t="str">
        <f>CONCATENATE("Table 36b. Persistence Rates from First to Second Year of College for Class of ",N44," and ",N45,", Student-Weighted Totals")</f>
        <v>Table 36b. Persistence Rates from First to Second Year of College for Class of 2021 and 2022, Student-Weighted Totals</v>
      </c>
      <c r="O42" s="54"/>
    </row>
    <row r="43" spans="1:22" ht="43.2" x14ac:dyDescent="0.3">
      <c r="A43" s="55"/>
      <c r="B43" s="56" t="s">
        <v>47</v>
      </c>
      <c r="C43" s="57" t="s">
        <v>42</v>
      </c>
      <c r="D43" s="57" t="s">
        <v>18</v>
      </c>
      <c r="E43" s="57" t="s">
        <v>19</v>
      </c>
      <c r="F43" s="57" t="s">
        <v>43</v>
      </c>
      <c r="G43" s="57" t="s">
        <v>44</v>
      </c>
      <c r="H43" s="57" t="s">
        <v>45</v>
      </c>
      <c r="I43" s="57" t="s">
        <v>46</v>
      </c>
      <c r="N43" s="55"/>
      <c r="O43" s="56" t="s">
        <v>47</v>
      </c>
      <c r="P43" s="57" t="s">
        <v>42</v>
      </c>
      <c r="Q43" s="57" t="s">
        <v>18</v>
      </c>
      <c r="R43" s="57" t="s">
        <v>19</v>
      </c>
      <c r="S43" s="57" t="s">
        <v>43</v>
      </c>
      <c r="T43" s="57" t="s">
        <v>44</v>
      </c>
      <c r="U43" s="57" t="s">
        <v>45</v>
      </c>
      <c r="V43" s="57" t="s">
        <v>46</v>
      </c>
    </row>
    <row r="44" spans="1:22" x14ac:dyDescent="0.3">
      <c r="A44" s="58">
        <v>2021</v>
      </c>
      <c r="B44" s="56">
        <v>328754</v>
      </c>
      <c r="C44" s="59">
        <v>0.78200000000000003</v>
      </c>
      <c r="D44" s="59">
        <v>0.77400000000000002</v>
      </c>
      <c r="E44" s="59">
        <v>0.82799999999999996</v>
      </c>
      <c r="F44" s="59">
        <v>0.69099999999999995</v>
      </c>
      <c r="G44" s="59">
        <v>0.84399999999999997</v>
      </c>
      <c r="H44" s="59">
        <v>0.77600000000000002</v>
      </c>
      <c r="I44" s="59">
        <v>0.81799999999999995</v>
      </c>
      <c r="N44" s="58">
        <v>2021</v>
      </c>
      <c r="O44" s="56">
        <v>960413</v>
      </c>
      <c r="P44" s="59">
        <v>0.86499999999999999</v>
      </c>
      <c r="Q44" s="59">
        <v>0.85099999999999998</v>
      </c>
      <c r="R44" s="59">
        <v>0.91700000000000004</v>
      </c>
      <c r="S44" s="59">
        <v>0.73099999999999998</v>
      </c>
      <c r="T44" s="59">
        <v>0.91400000000000003</v>
      </c>
      <c r="U44" s="59">
        <v>0.84699999999999998</v>
      </c>
      <c r="V44" s="59">
        <v>0.91900000000000004</v>
      </c>
    </row>
    <row r="45" spans="1:22" x14ac:dyDescent="0.3">
      <c r="A45" s="58">
        <v>2022</v>
      </c>
      <c r="B45" s="56">
        <v>328311</v>
      </c>
      <c r="C45" s="59">
        <v>0.77800000000000002</v>
      </c>
      <c r="D45" s="59">
        <v>0.77</v>
      </c>
      <c r="E45" s="59">
        <v>0.82699999999999996</v>
      </c>
      <c r="F45" s="59">
        <v>0.68200000000000005</v>
      </c>
      <c r="G45" s="59">
        <v>0.85199999999999998</v>
      </c>
      <c r="H45" s="59">
        <v>0.77200000000000002</v>
      </c>
      <c r="I45" s="59">
        <v>0.82299999999999995</v>
      </c>
      <c r="N45" s="58">
        <v>2022</v>
      </c>
      <c r="O45" s="56">
        <v>977247</v>
      </c>
      <c r="P45" s="59">
        <v>0.86799999999999999</v>
      </c>
      <c r="Q45" s="59">
        <v>0.85399999999999998</v>
      </c>
      <c r="R45" s="59">
        <v>0.92</v>
      </c>
      <c r="S45" s="59">
        <v>0.72799999999999998</v>
      </c>
      <c r="T45" s="59">
        <v>0.91800000000000004</v>
      </c>
      <c r="U45" s="59">
        <v>0.85</v>
      </c>
      <c r="V45" s="59">
        <v>0.92200000000000004</v>
      </c>
    </row>
    <row r="48" spans="1:22" x14ac:dyDescent="0.3">
      <c r="A48" s="61" t="str">
        <f>CONCATENATE("Table 37a. Six-Year Completion Rates for Class of ",,A50," and ",A51,", School Percentile Distribution")</f>
        <v>Table 37a. Six-Year Completion Rates for Class of 2017 and 2018, School Percentile Distribution</v>
      </c>
      <c r="B48" s="54"/>
      <c r="N48" s="61" t="str">
        <f>CONCATENATE("Table 37b. Six-Year Completion Rates for Class of ",N50," and ",N51,", School Percentile Distribution")</f>
        <v>Table 37b. Six-Year Completion Rates for Class of 2017 and 2018, School Percentile Distribution</v>
      </c>
      <c r="O48" s="54"/>
    </row>
    <row r="49" spans="1:22" ht="28.8" x14ac:dyDescent="0.3">
      <c r="A49" s="55"/>
      <c r="B49" s="56" t="s">
        <v>37</v>
      </c>
      <c r="C49" s="57" t="s">
        <v>38</v>
      </c>
      <c r="D49" s="57" t="s">
        <v>39</v>
      </c>
      <c r="E49" s="57" t="s">
        <v>40</v>
      </c>
      <c r="N49" s="55"/>
      <c r="O49" s="56" t="s">
        <v>37</v>
      </c>
      <c r="P49" s="57" t="s">
        <v>38</v>
      </c>
      <c r="Q49" s="57" t="s">
        <v>39</v>
      </c>
      <c r="R49" s="57" t="s">
        <v>40</v>
      </c>
    </row>
    <row r="50" spans="1:22" x14ac:dyDescent="0.3">
      <c r="A50" s="58">
        <v>2017</v>
      </c>
      <c r="B50" s="56">
        <v>3717</v>
      </c>
      <c r="C50" s="59">
        <v>0.182</v>
      </c>
      <c r="D50" s="59">
        <v>0.26100000000000001</v>
      </c>
      <c r="E50" s="59">
        <v>0.34300000000000003</v>
      </c>
      <c r="G50" s="60"/>
      <c r="I50" s="60"/>
      <c r="N50" s="58">
        <v>2017</v>
      </c>
      <c r="O50" s="56">
        <v>7045</v>
      </c>
      <c r="P50" s="59">
        <v>0.33300000000000002</v>
      </c>
      <c r="Q50" s="59">
        <v>0.438</v>
      </c>
      <c r="R50" s="59">
        <v>0.55100000000000005</v>
      </c>
      <c r="T50" s="60"/>
      <c r="V50" s="60"/>
    </row>
    <row r="51" spans="1:22" x14ac:dyDescent="0.3">
      <c r="A51" s="58">
        <v>2018</v>
      </c>
      <c r="B51" s="56">
        <v>3890</v>
      </c>
      <c r="C51" s="59">
        <v>0.183</v>
      </c>
      <c r="D51" s="59">
        <v>0.26300000000000001</v>
      </c>
      <c r="E51" s="59">
        <v>0.34100000000000003</v>
      </c>
      <c r="N51" s="58">
        <v>2018</v>
      </c>
      <c r="O51" s="56">
        <v>7075</v>
      </c>
      <c r="P51" s="59">
        <v>0.33300000000000002</v>
      </c>
      <c r="Q51" s="59">
        <v>0.434</v>
      </c>
      <c r="R51" s="59">
        <v>0.54800000000000004</v>
      </c>
    </row>
    <row r="52" spans="1:22" x14ac:dyDescent="0.3">
      <c r="A52" s="69"/>
      <c r="B52" s="70"/>
      <c r="C52" s="72"/>
      <c r="D52" s="72"/>
      <c r="E52" s="72"/>
      <c r="N52" s="69"/>
      <c r="O52" s="70"/>
      <c r="P52" s="72"/>
      <c r="Q52" s="72"/>
      <c r="R52" s="72"/>
    </row>
    <row r="53" spans="1:22" x14ac:dyDescent="0.3">
      <c r="A53" s="61" t="str">
        <f>CONCATENATE("Table 38a. Six-Year Completion Rates for Class of ",A55," and ",A56, ", Student-Weighted Totals")</f>
        <v>Table 38a. Six-Year Completion Rates for Class of 2017 and 2018, Student-Weighted Totals</v>
      </c>
      <c r="B53" s="54"/>
      <c r="N53" s="61" t="str">
        <f>CONCATENATE("Table 38b. Six-Year Completion Rates for Class of ",,N55," and ",N56, ", Student-Weighted Totals")</f>
        <v>Table 38b. Six-Year Completion Rates for Class of 2017 and 2018, Student-Weighted Totals</v>
      </c>
      <c r="O53" s="54"/>
    </row>
    <row r="54" spans="1:22" ht="28.8" x14ac:dyDescent="0.3">
      <c r="A54" s="55"/>
      <c r="B54" s="56" t="s">
        <v>41</v>
      </c>
      <c r="C54" s="57" t="s">
        <v>42</v>
      </c>
      <c r="D54" s="57" t="s">
        <v>18</v>
      </c>
      <c r="E54" s="57" t="s">
        <v>19</v>
      </c>
      <c r="F54" s="57" t="s">
        <v>43</v>
      </c>
      <c r="G54" s="57" t="s">
        <v>44</v>
      </c>
      <c r="H54" s="57" t="s">
        <v>45</v>
      </c>
      <c r="I54" s="57" t="s">
        <v>46</v>
      </c>
      <c r="N54" s="55"/>
      <c r="O54" s="56" t="s">
        <v>41</v>
      </c>
      <c r="P54" s="57" t="s">
        <v>42</v>
      </c>
      <c r="Q54" s="57" t="s">
        <v>18</v>
      </c>
      <c r="R54" s="57" t="s">
        <v>19</v>
      </c>
      <c r="S54" s="57" t="s">
        <v>43</v>
      </c>
      <c r="T54" s="57" t="s">
        <v>44</v>
      </c>
      <c r="U54" s="57" t="s">
        <v>45</v>
      </c>
      <c r="V54" s="57" t="s">
        <v>46</v>
      </c>
    </row>
    <row r="55" spans="1:22" x14ac:dyDescent="0.3">
      <c r="A55" s="58">
        <v>2017</v>
      </c>
      <c r="B55" s="56">
        <v>642264</v>
      </c>
      <c r="C55" s="59">
        <v>0.28499999999999998</v>
      </c>
      <c r="D55" s="59">
        <v>0.23499999999999999</v>
      </c>
      <c r="E55" s="59">
        <v>5.0999999999999997E-2</v>
      </c>
      <c r="F55" s="59">
        <v>8.7999999999999995E-2</v>
      </c>
      <c r="G55" s="59">
        <v>0.19700000000000001</v>
      </c>
      <c r="H55" s="59">
        <v>0.247</v>
      </c>
      <c r="I55" s="59">
        <v>3.7999999999999999E-2</v>
      </c>
      <c r="N55" s="58">
        <v>2017</v>
      </c>
      <c r="O55" s="56">
        <v>1335484</v>
      </c>
      <c r="P55" s="59">
        <v>0.48699999999999999</v>
      </c>
      <c r="Q55" s="59">
        <v>0.36599999999999999</v>
      </c>
      <c r="R55" s="59">
        <v>0.121</v>
      </c>
      <c r="S55" s="59">
        <v>8.7999999999999995E-2</v>
      </c>
      <c r="T55" s="59">
        <v>0.39900000000000002</v>
      </c>
      <c r="U55" s="59">
        <v>0.36299999999999999</v>
      </c>
      <c r="V55" s="59">
        <v>0.124</v>
      </c>
    </row>
    <row r="56" spans="1:22" x14ac:dyDescent="0.3">
      <c r="A56" s="58">
        <v>2018</v>
      </c>
      <c r="B56" s="56">
        <v>704173</v>
      </c>
      <c r="C56" s="59">
        <v>0.28499999999999998</v>
      </c>
      <c r="D56" s="59">
        <v>0.23400000000000001</v>
      </c>
      <c r="E56" s="59">
        <v>0.05</v>
      </c>
      <c r="F56" s="59">
        <v>8.7999999999999995E-2</v>
      </c>
      <c r="G56" s="59">
        <v>0.19700000000000001</v>
      </c>
      <c r="H56" s="59">
        <v>0.247</v>
      </c>
      <c r="I56" s="59">
        <v>3.7999999999999999E-2</v>
      </c>
      <c r="N56" s="58">
        <v>2018</v>
      </c>
      <c r="O56" s="56">
        <v>1393466</v>
      </c>
      <c r="P56" s="59">
        <v>0.48599999999999999</v>
      </c>
      <c r="Q56" s="59">
        <v>0.36699999999999999</v>
      </c>
      <c r="R56" s="59">
        <v>0.12</v>
      </c>
      <c r="S56" s="59">
        <v>8.6999999999999994E-2</v>
      </c>
      <c r="T56" s="59">
        <v>0.39900000000000002</v>
      </c>
      <c r="U56" s="59">
        <v>0.36</v>
      </c>
      <c r="V56" s="59">
        <v>0.127</v>
      </c>
    </row>
  </sheetData>
  <mergeCells count="2">
    <mergeCell ref="A2:L2"/>
    <mergeCell ref="N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F3DC-E64B-4F95-8B54-AA4EAE9FF7E9}">
  <dimension ref="A1:Y56"/>
  <sheetViews>
    <sheetView topLeftCell="A17" zoomScale="80" zoomScaleNormal="80" workbookViewId="0">
      <selection activeCell="L49" sqref="L49"/>
    </sheetView>
  </sheetViews>
  <sheetFormatPr defaultRowHeight="14.4" x14ac:dyDescent="0.3"/>
  <cols>
    <col min="2" max="2" width="14.5546875" customWidth="1"/>
    <col min="3" max="3" width="11.5546875" customWidth="1"/>
    <col min="4" max="4" width="10.5546875" customWidth="1"/>
    <col min="5" max="5" width="11.6640625" customWidth="1"/>
    <col min="13" max="13" width="13.6640625" customWidth="1"/>
    <col min="15" max="15" width="13.33203125" customWidth="1"/>
    <col min="16" max="16" width="11.5546875" customWidth="1"/>
    <col min="17" max="17" width="10.33203125" customWidth="1"/>
    <col min="18" max="18" width="10.109375" customWidth="1"/>
  </cols>
  <sheetData>
    <row r="1" spans="1:25" ht="28.8" x14ac:dyDescent="0.3">
      <c r="A1" s="49" t="s">
        <v>49</v>
      </c>
      <c r="B1" s="50"/>
      <c r="C1" s="50"/>
      <c r="D1" s="50"/>
      <c r="E1" s="50"/>
      <c r="F1" s="50"/>
      <c r="G1" s="50"/>
      <c r="H1" s="50"/>
      <c r="I1" s="50"/>
      <c r="J1" s="50"/>
      <c r="K1" s="50"/>
      <c r="L1" s="50"/>
      <c r="M1" s="50"/>
      <c r="N1" s="50"/>
      <c r="O1" s="50"/>
      <c r="P1" s="50"/>
      <c r="Q1" s="50"/>
      <c r="R1" s="50"/>
      <c r="S1" s="50"/>
      <c r="T1" s="50"/>
      <c r="U1" s="50"/>
      <c r="V1" s="50"/>
      <c r="W1" s="50"/>
      <c r="X1" s="50"/>
      <c r="Y1" s="50"/>
    </row>
    <row r="2" spans="1:25" ht="18" x14ac:dyDescent="0.3">
      <c r="A2" s="109" t="s">
        <v>123</v>
      </c>
      <c r="B2" s="110"/>
      <c r="C2" s="110"/>
      <c r="D2" s="110"/>
      <c r="E2" s="110"/>
      <c r="F2" s="110"/>
      <c r="G2" s="110"/>
      <c r="H2" s="110"/>
      <c r="I2" s="110"/>
      <c r="J2" s="110"/>
      <c r="K2" s="110"/>
      <c r="L2" s="110"/>
      <c r="M2" s="51"/>
      <c r="N2" s="109" t="s">
        <v>124</v>
      </c>
      <c r="O2" s="110"/>
      <c r="P2" s="110"/>
      <c r="Q2" s="110"/>
      <c r="R2" s="110"/>
      <c r="S2" s="110"/>
      <c r="T2" s="110"/>
      <c r="U2" s="110"/>
      <c r="V2" s="110"/>
      <c r="W2" s="110"/>
      <c r="X2" s="110"/>
      <c r="Y2" s="110"/>
    </row>
    <row r="3" spans="1:25" x14ac:dyDescent="0.3">
      <c r="A3" s="52"/>
      <c r="B3" s="52"/>
      <c r="C3" s="52"/>
      <c r="D3" s="52"/>
      <c r="E3" s="52"/>
      <c r="F3" s="52"/>
      <c r="G3" s="52"/>
      <c r="H3" s="52"/>
      <c r="I3" s="52"/>
      <c r="J3" s="52"/>
      <c r="K3" s="52"/>
      <c r="L3" s="52"/>
      <c r="M3" s="53"/>
      <c r="N3" s="52"/>
      <c r="O3" s="52"/>
      <c r="P3" s="52"/>
      <c r="Q3" s="52"/>
      <c r="R3" s="52"/>
      <c r="S3" s="52"/>
      <c r="T3" s="52"/>
      <c r="U3" s="52"/>
      <c r="V3" s="52"/>
      <c r="W3" s="52"/>
      <c r="X3" s="52"/>
      <c r="Y3" s="52"/>
    </row>
    <row r="4" spans="1:25" x14ac:dyDescent="0.3">
      <c r="A4" s="2" t="str">
        <f>CONCATENATE("Table 39a. College Enrollment Rates in the First Fall after High School Graduation for Classes ",A6," and ",A7,", School Percentile Distribution")</f>
        <v>Table 39a. College Enrollment Rates in the First Fall after High School Graduation for Classes 2023 and 2024, School Percentile Distribution</v>
      </c>
      <c r="B4" s="54"/>
      <c r="N4" s="2" t="str">
        <f>CONCATENATE("Table 39b. College Enrollment Rates in the First Fall after High School Graduation for Classes ",N6," and ",N7,", School Percentile Distribution")</f>
        <v>Table 39b. College Enrollment Rates in the First Fall after High School Graduation for Classes 2023 and 2024, School Percentile Distribution</v>
      </c>
      <c r="O4" s="54"/>
    </row>
    <row r="5" spans="1:25" ht="28.8" x14ac:dyDescent="0.3">
      <c r="A5" s="55"/>
      <c r="B5" s="56" t="s">
        <v>37</v>
      </c>
      <c r="C5" s="57" t="s">
        <v>38</v>
      </c>
      <c r="D5" s="57" t="s">
        <v>39</v>
      </c>
      <c r="E5" s="57" t="s">
        <v>40</v>
      </c>
      <c r="N5" s="55"/>
      <c r="O5" s="56" t="s">
        <v>37</v>
      </c>
      <c r="P5" s="57" t="s">
        <v>38</v>
      </c>
      <c r="Q5" s="57" t="s">
        <v>39</v>
      </c>
      <c r="R5" s="57" t="s">
        <v>40</v>
      </c>
    </row>
    <row r="6" spans="1:25" x14ac:dyDescent="0.3">
      <c r="A6" s="58">
        <v>2023</v>
      </c>
      <c r="B6" s="56">
        <v>3006</v>
      </c>
      <c r="C6" s="59">
        <v>0.38900000000000001</v>
      </c>
      <c r="D6" s="59">
        <v>0.50700000000000001</v>
      </c>
      <c r="E6" s="59">
        <v>0.63900000000000001</v>
      </c>
      <c r="G6" s="60"/>
      <c r="I6" s="60"/>
      <c r="N6" s="58">
        <v>2023</v>
      </c>
      <c r="O6" s="56">
        <v>8135</v>
      </c>
      <c r="P6" s="59">
        <v>0.437</v>
      </c>
      <c r="Q6" s="59">
        <v>0.55600000000000005</v>
      </c>
      <c r="R6" s="59">
        <v>0.68</v>
      </c>
      <c r="T6" s="60"/>
      <c r="V6" s="60"/>
    </row>
    <row r="7" spans="1:25" x14ac:dyDescent="0.3">
      <c r="A7" s="58">
        <v>2024</v>
      </c>
      <c r="B7" s="56">
        <v>2877</v>
      </c>
      <c r="C7" s="59">
        <v>0.39800000000000002</v>
      </c>
      <c r="D7" s="59">
        <v>0.51600000000000001</v>
      </c>
      <c r="E7" s="59">
        <v>0.65500000000000003</v>
      </c>
      <c r="N7" s="58">
        <v>2024</v>
      </c>
      <c r="O7" s="56">
        <v>6677</v>
      </c>
      <c r="P7" s="59">
        <v>0.435</v>
      </c>
      <c r="Q7" s="59">
        <v>0.54800000000000004</v>
      </c>
      <c r="R7" s="59">
        <v>0.67100000000000004</v>
      </c>
    </row>
    <row r="8" spans="1:25" x14ac:dyDescent="0.3">
      <c r="B8" s="54"/>
      <c r="O8" s="54"/>
    </row>
    <row r="9" spans="1:25" x14ac:dyDescent="0.3">
      <c r="A9" s="2" t="str">
        <f>CONCATENATE("Table 40a. College Enrollment Rates in the First Fall after High School Graduation for Classes ",A11," and ",A12,", Student-Weighted Totals")</f>
        <v>Table 40a. College Enrollment Rates in the First Fall after High School Graduation for Classes 2023 and 2024, Student-Weighted Totals</v>
      </c>
      <c r="B9" s="54"/>
      <c r="N9" s="2" t="str">
        <f>CONCATENATE("Table 40b. College Enrollment Rates in the First Fall after High School Graduation for Classes ",N11," and ",N12,", Student-Weighted Totals")</f>
        <v>Table 40b. College Enrollment Rates in the First Fall after High School Graduation for Classes 2023 and 2024, Student-Weighted Totals</v>
      </c>
      <c r="O9" s="54"/>
    </row>
    <row r="10" spans="1:25" ht="28.8" x14ac:dyDescent="0.3">
      <c r="A10" s="55"/>
      <c r="B10" s="56" t="s">
        <v>41</v>
      </c>
      <c r="C10" s="57" t="s">
        <v>42</v>
      </c>
      <c r="D10" s="57" t="s">
        <v>18</v>
      </c>
      <c r="E10" s="57" t="s">
        <v>19</v>
      </c>
      <c r="F10" s="57" t="s">
        <v>43</v>
      </c>
      <c r="G10" s="57" t="s">
        <v>44</v>
      </c>
      <c r="H10" s="57" t="s">
        <v>45</v>
      </c>
      <c r="I10" s="57" t="s">
        <v>46</v>
      </c>
      <c r="N10" s="55"/>
      <c r="O10" s="56" t="s">
        <v>41</v>
      </c>
      <c r="P10" s="57" t="s">
        <v>42</v>
      </c>
      <c r="Q10" s="57" t="s">
        <v>18</v>
      </c>
      <c r="R10" s="57" t="s">
        <v>19</v>
      </c>
      <c r="S10" s="57" t="s">
        <v>43</v>
      </c>
      <c r="T10" s="57" t="s">
        <v>44</v>
      </c>
      <c r="U10" s="57" t="s">
        <v>45</v>
      </c>
      <c r="V10" s="57" t="s">
        <v>46</v>
      </c>
    </row>
    <row r="11" spans="1:25" x14ac:dyDescent="0.3">
      <c r="A11" s="58">
        <v>2023</v>
      </c>
      <c r="B11" s="56">
        <v>798302</v>
      </c>
      <c r="C11" s="59">
        <v>0.54800000000000004</v>
      </c>
      <c r="D11" s="59">
        <v>0.46899999999999997</v>
      </c>
      <c r="E11" s="59">
        <v>7.9000000000000001E-2</v>
      </c>
      <c r="F11" s="59">
        <v>0.20300000000000001</v>
      </c>
      <c r="G11" s="59">
        <v>0.34499999999999997</v>
      </c>
      <c r="H11" s="59">
        <v>0.47299999999999998</v>
      </c>
      <c r="I11" s="59">
        <v>7.4999999999999997E-2</v>
      </c>
      <c r="N11" s="58">
        <v>2023</v>
      </c>
      <c r="O11" s="56">
        <v>1259315</v>
      </c>
      <c r="P11" s="59">
        <v>0.63</v>
      </c>
      <c r="Q11" s="59">
        <v>0.497</v>
      </c>
      <c r="R11" s="59">
        <v>0.13300000000000001</v>
      </c>
      <c r="S11" s="59">
        <v>0.158</v>
      </c>
      <c r="T11" s="59">
        <v>0.47199999999999998</v>
      </c>
      <c r="U11" s="59">
        <v>0.47299999999999998</v>
      </c>
      <c r="V11" s="59">
        <v>0.156</v>
      </c>
    </row>
    <row r="12" spans="1:25" x14ac:dyDescent="0.3">
      <c r="A12" s="58">
        <v>2024</v>
      </c>
      <c r="B12" s="56">
        <v>776690</v>
      </c>
      <c r="C12" s="59">
        <v>0.55000000000000004</v>
      </c>
      <c r="D12" s="59">
        <v>0.47699999999999998</v>
      </c>
      <c r="E12" s="59">
        <v>7.2999999999999995E-2</v>
      </c>
      <c r="F12" s="59">
        <v>0.216</v>
      </c>
      <c r="G12" s="59">
        <v>0.33500000000000002</v>
      </c>
      <c r="H12" s="59">
        <v>0.47699999999999998</v>
      </c>
      <c r="I12" s="59">
        <v>7.2999999999999995E-2</v>
      </c>
      <c r="N12" s="58">
        <v>2024</v>
      </c>
      <c r="O12" s="56">
        <v>1042201</v>
      </c>
      <c r="P12" s="59">
        <v>0.627</v>
      </c>
      <c r="Q12" s="59">
        <v>0.50700000000000001</v>
      </c>
      <c r="R12" s="59">
        <v>0.12</v>
      </c>
      <c r="S12" s="59">
        <v>0.16200000000000001</v>
      </c>
      <c r="T12" s="59">
        <v>0.46400000000000002</v>
      </c>
      <c r="U12" s="59">
        <v>0.47599999999999998</v>
      </c>
      <c r="V12" s="59">
        <v>0.15</v>
      </c>
    </row>
    <row r="15" spans="1:25" x14ac:dyDescent="0.3">
      <c r="A15" s="61" t="str">
        <f>CONCATENATE("Table 41a. College Enrollment Rates in the First Year after High School Graduation for Classes ",A17," and ",A18,", School Percentile Distribution")</f>
        <v>Table 41a. College Enrollment Rates in the First Year after High School Graduation for Classes 2022 and 2023, School Percentile Distribution</v>
      </c>
      <c r="B15" s="54"/>
      <c r="N15" s="61" t="str">
        <f>CONCATENATE("Table 41b. College Enrollment Rates in the First Year after High School Graduation for Classes ",N17," and ",N18,", School Percentile Distribution")</f>
        <v>Table 41b. College Enrollment Rates in the First Year after High School Graduation for Classes 2022 and 2023, School Percentile Distribution</v>
      </c>
      <c r="O15" s="54"/>
    </row>
    <row r="16" spans="1:25" ht="28.8" x14ac:dyDescent="0.3">
      <c r="A16" s="55"/>
      <c r="B16" s="56" t="s">
        <v>37</v>
      </c>
      <c r="C16" s="56" t="s">
        <v>38</v>
      </c>
      <c r="D16" s="56" t="s">
        <v>39</v>
      </c>
      <c r="E16" s="56" t="s">
        <v>40</v>
      </c>
      <c r="N16" s="55"/>
      <c r="O16" s="56" t="s">
        <v>37</v>
      </c>
      <c r="P16" s="56" t="s">
        <v>38</v>
      </c>
      <c r="Q16" s="56" t="s">
        <v>39</v>
      </c>
      <c r="R16" s="56" t="s">
        <v>40</v>
      </c>
    </row>
    <row r="17" spans="1:22" x14ac:dyDescent="0.3">
      <c r="A17" s="58">
        <v>2022</v>
      </c>
      <c r="B17" s="56">
        <v>2900</v>
      </c>
      <c r="C17" s="59">
        <v>0.42899999999999999</v>
      </c>
      <c r="D17" s="59">
        <v>0.54300000000000004</v>
      </c>
      <c r="E17" s="59">
        <v>0.66600000000000004</v>
      </c>
      <c r="N17" s="58">
        <v>2022</v>
      </c>
      <c r="O17" s="56">
        <v>8333</v>
      </c>
      <c r="P17" s="59">
        <v>0.45700000000000002</v>
      </c>
      <c r="Q17" s="59">
        <v>0.57299999999999995</v>
      </c>
      <c r="R17" s="59">
        <v>0.69699999999999995</v>
      </c>
    </row>
    <row r="18" spans="1:22" x14ac:dyDescent="0.3">
      <c r="A18" s="58">
        <v>2023</v>
      </c>
      <c r="B18" s="56">
        <v>3006</v>
      </c>
      <c r="C18" s="59">
        <v>0.432</v>
      </c>
      <c r="D18" s="59">
        <v>0.55400000000000005</v>
      </c>
      <c r="E18" s="59">
        <v>0.67700000000000005</v>
      </c>
      <c r="N18" s="58">
        <v>2023</v>
      </c>
      <c r="O18" s="56">
        <v>8135</v>
      </c>
      <c r="P18" s="59">
        <v>0.46300000000000002</v>
      </c>
      <c r="Q18" s="59">
        <v>0.57999999999999996</v>
      </c>
      <c r="R18" s="59">
        <v>0.70599999999999996</v>
      </c>
    </row>
    <row r="19" spans="1:22" x14ac:dyDescent="0.3">
      <c r="B19" s="54"/>
      <c r="O19" s="54"/>
    </row>
    <row r="20" spans="1:22" x14ac:dyDescent="0.3">
      <c r="A20" s="61" t="str">
        <f>CONCATENATE("Table 42a. College Enrollment Rates in the First Year after High School Graduation for Classes ",A22," and ",A23,", Student-Weighted Totals")</f>
        <v>Table 42a. College Enrollment Rates in the First Year after High School Graduation for Classes 2022 and 2023, Student-Weighted Totals</v>
      </c>
      <c r="B20" s="54"/>
      <c r="N20" s="61" t="str">
        <f>CONCATENATE("Table 42b. College Enrollment Rates in the First Year after High School Graduation for Classes ",N22," and ",N23,", Student-Weighted Totals")</f>
        <v>Table 42b. College Enrollment Rates in the First Year after High School Graduation for Classes 2022 and 2023, Student-Weighted Totals</v>
      </c>
      <c r="O20" s="54"/>
    </row>
    <row r="21" spans="1:22" ht="28.8" x14ac:dyDescent="0.3">
      <c r="A21" s="55"/>
      <c r="B21" s="56" t="s">
        <v>41</v>
      </c>
      <c r="C21" s="57" t="s">
        <v>42</v>
      </c>
      <c r="D21" s="57" t="s">
        <v>18</v>
      </c>
      <c r="E21" s="57" t="s">
        <v>19</v>
      </c>
      <c r="F21" s="57" t="s">
        <v>43</v>
      </c>
      <c r="G21" s="57" t="s">
        <v>44</v>
      </c>
      <c r="H21" s="57" t="s">
        <v>45</v>
      </c>
      <c r="I21" s="57" t="s">
        <v>46</v>
      </c>
      <c r="N21" s="55"/>
      <c r="O21" s="56" t="s">
        <v>41</v>
      </c>
      <c r="P21" s="57" t="s">
        <v>42</v>
      </c>
      <c r="Q21" s="57" t="s">
        <v>18</v>
      </c>
      <c r="R21" s="57" t="s">
        <v>19</v>
      </c>
      <c r="S21" s="57" t="s">
        <v>43</v>
      </c>
      <c r="T21" s="57" t="s">
        <v>44</v>
      </c>
      <c r="U21" s="57" t="s">
        <v>45</v>
      </c>
      <c r="V21" s="57" t="s">
        <v>46</v>
      </c>
    </row>
    <row r="22" spans="1:22" x14ac:dyDescent="0.3">
      <c r="A22" s="58">
        <v>2022</v>
      </c>
      <c r="B22" s="56">
        <v>802502</v>
      </c>
      <c r="C22" s="59">
        <v>0.57499999999999996</v>
      </c>
      <c r="D22" s="59">
        <v>0.495</v>
      </c>
      <c r="E22" s="59">
        <v>8.1000000000000003E-2</v>
      </c>
      <c r="F22" s="59">
        <v>0.22600000000000001</v>
      </c>
      <c r="G22" s="59">
        <v>0.35</v>
      </c>
      <c r="H22" s="59">
        <v>0.496</v>
      </c>
      <c r="I22" s="59">
        <v>0.08</v>
      </c>
      <c r="N22" s="58">
        <v>2022</v>
      </c>
      <c r="O22" s="56">
        <v>1294219</v>
      </c>
      <c r="P22" s="59">
        <v>0.65200000000000002</v>
      </c>
      <c r="Q22" s="59">
        <v>0.51300000000000001</v>
      </c>
      <c r="R22" s="59">
        <v>0.13900000000000001</v>
      </c>
      <c r="S22" s="59">
        <v>0.17</v>
      </c>
      <c r="T22" s="59">
        <v>0.48199999999999998</v>
      </c>
      <c r="U22" s="59">
        <v>0.48599999999999999</v>
      </c>
      <c r="V22" s="59">
        <v>0.16600000000000001</v>
      </c>
    </row>
    <row r="23" spans="1:22" x14ac:dyDescent="0.3">
      <c r="A23" s="58">
        <v>2023</v>
      </c>
      <c r="B23" s="56">
        <v>798302</v>
      </c>
      <c r="C23" s="59">
        <v>0.58799999999999997</v>
      </c>
      <c r="D23" s="59">
        <v>0.504</v>
      </c>
      <c r="E23" s="59">
        <v>8.4000000000000005E-2</v>
      </c>
      <c r="F23" s="59">
        <v>0.22500000000000001</v>
      </c>
      <c r="G23" s="59">
        <v>0.36299999999999999</v>
      </c>
      <c r="H23" s="59">
        <v>0.50800000000000001</v>
      </c>
      <c r="I23" s="59">
        <v>0.08</v>
      </c>
      <c r="N23" s="58">
        <v>2023</v>
      </c>
      <c r="O23" s="56">
        <v>1259315</v>
      </c>
      <c r="P23" s="59">
        <v>0.65700000000000003</v>
      </c>
      <c r="Q23" s="59">
        <v>0.52</v>
      </c>
      <c r="R23" s="59">
        <v>0.13700000000000001</v>
      </c>
      <c r="S23" s="59">
        <v>0.17199999999999999</v>
      </c>
      <c r="T23" s="59">
        <v>0.48499999999999999</v>
      </c>
      <c r="U23" s="59">
        <v>0.495</v>
      </c>
      <c r="V23" s="59">
        <v>0.16200000000000001</v>
      </c>
    </row>
    <row r="26" spans="1:22" x14ac:dyDescent="0.3">
      <c r="A26" s="61" t="str">
        <f>CONCATENATE("Table 43a. College Enrollment Rates in the First Two Years after High School Graduation for Classes ",A28," and ",A29,", School Percentile Distribution")</f>
        <v>Table 43a. College Enrollment Rates in the First Two Years after High School Graduation for Classes 2021 and 2022, School Percentile Distribution</v>
      </c>
      <c r="B26" s="54"/>
      <c r="N26" s="61" t="str">
        <f>CONCATENATE("Table 43b. College Enrollment Rates in the First Two Years after High School Graduation for Classes ",N28," and ",N29,", School Percentile Distribution")</f>
        <v>Table 43b. College Enrollment Rates in the First Two Years after High School Graduation for Classes 2021 and 2022, School Percentile Distribution</v>
      </c>
      <c r="O26" s="54"/>
    </row>
    <row r="27" spans="1:22" ht="28.8" x14ac:dyDescent="0.3">
      <c r="A27" s="55"/>
      <c r="B27" s="56" t="s">
        <v>37</v>
      </c>
      <c r="C27" s="57" t="s">
        <v>38</v>
      </c>
      <c r="D27" s="57" t="s">
        <v>39</v>
      </c>
      <c r="E27" s="57" t="s">
        <v>40</v>
      </c>
      <c r="N27" s="55"/>
      <c r="O27" s="56" t="s">
        <v>37</v>
      </c>
      <c r="P27" s="57" t="s">
        <v>38</v>
      </c>
      <c r="Q27" s="57" t="s">
        <v>39</v>
      </c>
      <c r="R27" s="57" t="s">
        <v>40</v>
      </c>
    </row>
    <row r="28" spans="1:22" x14ac:dyDescent="0.3">
      <c r="A28" s="58">
        <v>2021</v>
      </c>
      <c r="B28" s="56">
        <v>2862</v>
      </c>
      <c r="C28" s="59">
        <v>0.46100000000000002</v>
      </c>
      <c r="D28" s="59">
        <v>0.57999999999999996</v>
      </c>
      <c r="E28" s="59">
        <v>0.69199999999999995</v>
      </c>
      <c r="N28" s="58">
        <v>2021</v>
      </c>
      <c r="O28" s="56">
        <v>8340</v>
      </c>
      <c r="P28" s="59">
        <v>0.5</v>
      </c>
      <c r="Q28" s="59">
        <v>0.61799999999999999</v>
      </c>
      <c r="R28" s="59">
        <v>0.73699999999999999</v>
      </c>
    </row>
    <row r="29" spans="1:22" x14ac:dyDescent="0.3">
      <c r="A29" s="58">
        <v>2022</v>
      </c>
      <c r="B29" s="56">
        <v>2900</v>
      </c>
      <c r="C29" s="59">
        <v>0.47199999999999998</v>
      </c>
      <c r="D29" s="59">
        <v>0.59099999999999997</v>
      </c>
      <c r="E29" s="59">
        <v>0.70499999999999996</v>
      </c>
      <c r="N29" s="58">
        <v>2022</v>
      </c>
      <c r="O29" s="56">
        <v>8333</v>
      </c>
      <c r="P29" s="59">
        <v>0.5</v>
      </c>
      <c r="Q29" s="59">
        <v>0.61</v>
      </c>
      <c r="R29" s="59">
        <v>0.73299999999999998</v>
      </c>
    </row>
    <row r="30" spans="1:22" x14ac:dyDescent="0.3">
      <c r="B30" s="54"/>
      <c r="O30" s="54"/>
    </row>
    <row r="31" spans="1:22" x14ac:dyDescent="0.3">
      <c r="A31" s="61" t="str">
        <f>CONCATENATE("Table 44a. College Enrollment Rates in the First Two Years after High School Graduation for Classes ",A33," and ",A34,", Student-Weighted Totals")</f>
        <v>Table 44a. College Enrollment Rates in the First Two Years after High School Graduation for Classes 2021 and 2022, Student-Weighted Totals</v>
      </c>
      <c r="B31" s="54"/>
      <c r="N31" s="61" t="str">
        <f>CONCATENATE("Table 44b. College Enrollment Rates in the First Two Years after High School Graduation for Classes ",N33," and ",N34,", Student-Weighted Totals")</f>
        <v>Table 44b. College Enrollment Rates in the First Two Years after High School Graduation for Classes 2021 and 2022, Student-Weighted Totals</v>
      </c>
      <c r="O31" s="54"/>
    </row>
    <row r="32" spans="1:22" ht="28.8" x14ac:dyDescent="0.3">
      <c r="A32" s="55"/>
      <c r="B32" s="56" t="s">
        <v>41</v>
      </c>
      <c r="C32" s="57" t="s">
        <v>42</v>
      </c>
      <c r="D32" s="57" t="s">
        <v>18</v>
      </c>
      <c r="E32" s="57" t="s">
        <v>19</v>
      </c>
      <c r="F32" s="57" t="s">
        <v>43</v>
      </c>
      <c r="G32" s="57" t="s">
        <v>44</v>
      </c>
      <c r="H32" s="57" t="s">
        <v>45</v>
      </c>
      <c r="I32" s="57" t="s">
        <v>46</v>
      </c>
      <c r="N32" s="55"/>
      <c r="O32" s="56" t="s">
        <v>41</v>
      </c>
      <c r="P32" s="57" t="s">
        <v>42</v>
      </c>
      <c r="Q32" s="57" t="s">
        <v>18</v>
      </c>
      <c r="R32" s="57" t="s">
        <v>19</v>
      </c>
      <c r="S32" s="57" t="s">
        <v>43</v>
      </c>
      <c r="T32" s="57" t="s">
        <v>44</v>
      </c>
      <c r="U32" s="57" t="s">
        <v>45</v>
      </c>
      <c r="V32" s="57" t="s">
        <v>46</v>
      </c>
    </row>
    <row r="33" spans="1:22" x14ac:dyDescent="0.3">
      <c r="A33" s="58">
        <v>2021</v>
      </c>
      <c r="B33" s="56">
        <v>787896</v>
      </c>
      <c r="C33" s="59">
        <v>0.60299999999999998</v>
      </c>
      <c r="D33" s="59">
        <v>0.51400000000000001</v>
      </c>
      <c r="E33" s="59">
        <v>8.8999999999999996E-2</v>
      </c>
      <c r="F33" s="59">
        <v>0.24199999999999999</v>
      </c>
      <c r="G33" s="59">
        <v>0.36199999999999999</v>
      </c>
      <c r="H33" s="59">
        <v>0.51400000000000001</v>
      </c>
      <c r="I33" s="59">
        <v>8.8999999999999996E-2</v>
      </c>
      <c r="N33" s="58">
        <v>2021</v>
      </c>
      <c r="O33" s="56">
        <v>1308131</v>
      </c>
      <c r="P33" s="59">
        <v>0.68799999999999994</v>
      </c>
      <c r="Q33" s="59">
        <v>0.54100000000000004</v>
      </c>
      <c r="R33" s="59">
        <v>0.14599999999999999</v>
      </c>
      <c r="S33" s="59">
        <v>0.19400000000000001</v>
      </c>
      <c r="T33" s="59">
        <v>0.49399999999999999</v>
      </c>
      <c r="U33" s="59">
        <v>0.51500000000000001</v>
      </c>
      <c r="V33" s="59">
        <v>0.17299999999999999</v>
      </c>
    </row>
    <row r="34" spans="1:22" x14ac:dyDescent="0.3">
      <c r="A34" s="58">
        <v>2022</v>
      </c>
      <c r="B34" s="56">
        <v>802502</v>
      </c>
      <c r="C34" s="59">
        <v>0.61699999999999999</v>
      </c>
      <c r="D34" s="59">
        <v>0.53100000000000003</v>
      </c>
      <c r="E34" s="59">
        <v>8.5999999999999993E-2</v>
      </c>
      <c r="F34" s="59">
        <v>0.253</v>
      </c>
      <c r="G34" s="59">
        <v>0.36399999999999999</v>
      </c>
      <c r="H34" s="59">
        <v>0.53</v>
      </c>
      <c r="I34" s="59">
        <v>8.6999999999999994E-2</v>
      </c>
      <c r="N34" s="58">
        <v>2022</v>
      </c>
      <c r="O34" s="56">
        <v>1294219</v>
      </c>
      <c r="P34" s="59">
        <v>0.68799999999999994</v>
      </c>
      <c r="Q34" s="59">
        <v>0.54300000000000004</v>
      </c>
      <c r="R34" s="59">
        <v>0.14399999999999999</v>
      </c>
      <c r="S34" s="59">
        <v>0.191</v>
      </c>
      <c r="T34" s="59">
        <v>0.497</v>
      </c>
      <c r="U34" s="59">
        <v>0.51400000000000001</v>
      </c>
      <c r="V34" s="59">
        <v>0.17399999999999999</v>
      </c>
    </row>
    <row r="37" spans="1:22" x14ac:dyDescent="0.3">
      <c r="A37" s="61" t="str">
        <f>CONCATENATE("Table 45a. Persistence Rates from First to Second Year of College for Class of ",A39," and ",A40,", School Percentile Distribution")</f>
        <v>Table 45a. Persistence Rates from First to Second Year of College for Class of 2021 and 2022, School Percentile Distribution</v>
      </c>
      <c r="B37" s="54"/>
      <c r="N37" s="61" t="str">
        <f>CONCATENATE("Table 45b. Persistence Rates from First to Second Year of College for Class of ",N39," and ",N40,", School Percentile Distribution")</f>
        <v>Table 45b. Persistence Rates from First to Second Year of College for Class of 2021 and 2022, School Percentile Distribution</v>
      </c>
      <c r="O37" s="54"/>
    </row>
    <row r="38" spans="1:22" ht="28.8" x14ac:dyDescent="0.3">
      <c r="A38" s="55"/>
      <c r="B38" s="56" t="s">
        <v>37</v>
      </c>
      <c r="C38" s="57" t="s">
        <v>38</v>
      </c>
      <c r="D38" s="57" t="s">
        <v>39</v>
      </c>
      <c r="E38" s="57" t="s">
        <v>40</v>
      </c>
      <c r="N38" s="55"/>
      <c r="O38" s="56" t="s">
        <v>37</v>
      </c>
      <c r="P38" s="57" t="s">
        <v>38</v>
      </c>
      <c r="Q38" s="57" t="s">
        <v>39</v>
      </c>
      <c r="R38" s="57" t="s">
        <v>40</v>
      </c>
    </row>
    <row r="39" spans="1:22" x14ac:dyDescent="0.3">
      <c r="A39" s="58">
        <v>2021</v>
      </c>
      <c r="B39" s="62">
        <v>2862</v>
      </c>
      <c r="C39" s="68">
        <v>0.70099999999999996</v>
      </c>
      <c r="D39" s="68">
        <v>0.77200000000000002</v>
      </c>
      <c r="E39" s="68">
        <v>0.83499999999999996</v>
      </c>
      <c r="N39" s="58">
        <v>2021</v>
      </c>
      <c r="O39" s="62">
        <v>8340</v>
      </c>
      <c r="P39" s="68">
        <v>0.75</v>
      </c>
      <c r="Q39" s="68">
        <v>0.82899999999999996</v>
      </c>
      <c r="R39" s="68">
        <v>0.89200000000000002</v>
      </c>
    </row>
    <row r="40" spans="1:22" x14ac:dyDescent="0.3">
      <c r="A40" s="58">
        <v>2022</v>
      </c>
      <c r="B40" s="62">
        <v>2900</v>
      </c>
      <c r="C40" s="68">
        <v>0.69099999999999995</v>
      </c>
      <c r="D40" s="68">
        <v>0.77</v>
      </c>
      <c r="E40" s="68">
        <v>0.83599999999999997</v>
      </c>
      <c r="N40" s="58">
        <v>2022</v>
      </c>
      <c r="O40" s="62">
        <v>8333</v>
      </c>
      <c r="P40" s="68">
        <v>0.75</v>
      </c>
      <c r="Q40" s="68">
        <v>0.83599999999999997</v>
      </c>
      <c r="R40" s="68">
        <v>0.9</v>
      </c>
    </row>
    <row r="41" spans="1:22" x14ac:dyDescent="0.3">
      <c r="B41" s="54"/>
      <c r="O41" s="54"/>
    </row>
    <row r="42" spans="1:22" x14ac:dyDescent="0.3">
      <c r="A42" s="61" t="str">
        <f>CONCATENATE("Table 46a. Persistence Rates from First to Second Year of College for Class of ",A44," and ",A45,", Student-Weighted Totals")</f>
        <v>Table 46a. Persistence Rates from First to Second Year of College for Class of 2021 and 2022, Student-Weighted Totals</v>
      </c>
      <c r="B42" s="54"/>
      <c r="N42" s="61" t="str">
        <f>CONCATENATE("Table 46b. Persistence Rates from First to Second Year of College for Class of ",N44," and ",N45,", Student-Weighted Totals")</f>
        <v>Table 46b. Persistence Rates from First to Second Year of College for Class of 2021 and 2022, Student-Weighted Totals</v>
      </c>
      <c r="O42" s="54"/>
    </row>
    <row r="43" spans="1:22" ht="43.2" x14ac:dyDescent="0.3">
      <c r="A43" s="55"/>
      <c r="B43" s="56" t="s">
        <v>47</v>
      </c>
      <c r="C43" s="57" t="s">
        <v>42</v>
      </c>
      <c r="D43" s="57" t="s">
        <v>18</v>
      </c>
      <c r="E43" s="57" t="s">
        <v>19</v>
      </c>
      <c r="F43" s="57" t="s">
        <v>43</v>
      </c>
      <c r="G43" s="57" t="s">
        <v>44</v>
      </c>
      <c r="H43" s="57" t="s">
        <v>45</v>
      </c>
      <c r="I43" s="57" t="s">
        <v>46</v>
      </c>
      <c r="N43" s="55"/>
      <c r="O43" s="56" t="s">
        <v>47</v>
      </c>
      <c r="P43" s="57" t="s">
        <v>42</v>
      </c>
      <c r="Q43" s="57" t="s">
        <v>18</v>
      </c>
      <c r="R43" s="57" t="s">
        <v>19</v>
      </c>
      <c r="S43" s="57" t="s">
        <v>43</v>
      </c>
      <c r="T43" s="57" t="s">
        <v>44</v>
      </c>
      <c r="U43" s="57" t="s">
        <v>45</v>
      </c>
      <c r="V43" s="57" t="s">
        <v>46</v>
      </c>
    </row>
    <row r="44" spans="1:22" x14ac:dyDescent="0.3">
      <c r="A44" s="58">
        <v>2021</v>
      </c>
      <c r="B44" s="56">
        <v>438624</v>
      </c>
      <c r="C44" s="59">
        <v>0.80300000000000005</v>
      </c>
      <c r="D44" s="59">
        <v>0.79600000000000004</v>
      </c>
      <c r="E44" s="59">
        <v>0.84699999999999998</v>
      </c>
      <c r="F44" s="59">
        <v>0.70599999999999996</v>
      </c>
      <c r="G44" s="59">
        <v>0.86299999999999999</v>
      </c>
      <c r="H44" s="59">
        <v>0.79500000000000004</v>
      </c>
      <c r="I44" s="59">
        <v>0.85099999999999998</v>
      </c>
      <c r="N44" s="58">
        <v>2021</v>
      </c>
      <c r="O44" s="56">
        <v>850543</v>
      </c>
      <c r="P44" s="59">
        <v>0.86499999999999999</v>
      </c>
      <c r="Q44" s="59">
        <v>0.84899999999999998</v>
      </c>
      <c r="R44" s="59">
        <v>0.92</v>
      </c>
      <c r="S44" s="59">
        <v>0.72599999999999998</v>
      </c>
      <c r="T44" s="59">
        <v>0.91500000000000004</v>
      </c>
      <c r="U44" s="59">
        <v>0.84599999999999997</v>
      </c>
      <c r="V44" s="59">
        <v>0.92</v>
      </c>
    </row>
    <row r="45" spans="1:22" x14ac:dyDescent="0.3">
      <c r="A45" s="58">
        <v>2022</v>
      </c>
      <c r="B45" s="56">
        <v>461713</v>
      </c>
      <c r="C45" s="59">
        <v>0.8</v>
      </c>
      <c r="D45" s="59">
        <v>0.79200000000000004</v>
      </c>
      <c r="E45" s="59">
        <v>0.84899999999999998</v>
      </c>
      <c r="F45" s="59">
        <v>0.69299999999999995</v>
      </c>
      <c r="G45" s="59">
        <v>0.86799999999999999</v>
      </c>
      <c r="H45" s="59">
        <v>0.79100000000000004</v>
      </c>
      <c r="I45" s="59">
        <v>0.85499999999999998</v>
      </c>
      <c r="N45" s="58">
        <v>2022</v>
      </c>
      <c r="O45" s="56">
        <v>843845</v>
      </c>
      <c r="P45" s="59">
        <v>0.87</v>
      </c>
      <c r="Q45" s="59">
        <v>0.85599999999999998</v>
      </c>
      <c r="R45" s="59">
        <v>0.92300000000000004</v>
      </c>
      <c r="S45" s="59">
        <v>0.72599999999999998</v>
      </c>
      <c r="T45" s="59">
        <v>0.92100000000000004</v>
      </c>
      <c r="U45" s="59">
        <v>0.85099999999999998</v>
      </c>
      <c r="V45" s="59">
        <v>0.92500000000000004</v>
      </c>
    </row>
    <row r="48" spans="1:22" x14ac:dyDescent="0.3">
      <c r="A48" s="61" t="str">
        <f>CONCATENATE("Table 47a. Six-Year Completion Rates for Class of ",,A50," and ",A51,", School Percentile Distribution")</f>
        <v>Table 47a. Six-Year Completion Rates for Class of 2017 and 2018, School Percentile Distribution</v>
      </c>
      <c r="B48" s="54"/>
      <c r="N48" s="61" t="str">
        <f>CONCATENATE("Table 47b. Six-Year Completion Rates for Class of ",N50," and ",N51,", School Percentile Distribution")</f>
        <v>Table 47b. Six-Year Completion Rates for Class of 2017 and 2018, School Percentile Distribution</v>
      </c>
      <c r="O48" s="54"/>
    </row>
    <row r="49" spans="1:22" ht="28.8" x14ac:dyDescent="0.3">
      <c r="A49" s="55"/>
      <c r="B49" s="56" t="s">
        <v>37</v>
      </c>
      <c r="C49" s="57" t="s">
        <v>38</v>
      </c>
      <c r="D49" s="57" t="s">
        <v>39</v>
      </c>
      <c r="E49" s="57" t="s">
        <v>40</v>
      </c>
      <c r="N49" s="55"/>
      <c r="O49" s="56" t="s">
        <v>37</v>
      </c>
      <c r="P49" s="57" t="s">
        <v>38</v>
      </c>
      <c r="Q49" s="57" t="s">
        <v>39</v>
      </c>
      <c r="R49" s="57" t="s">
        <v>40</v>
      </c>
    </row>
    <row r="50" spans="1:22" x14ac:dyDescent="0.3">
      <c r="A50" s="58">
        <v>2017</v>
      </c>
      <c r="B50" s="62">
        <v>2479</v>
      </c>
      <c r="C50" s="68">
        <v>0.182</v>
      </c>
      <c r="D50" s="68">
        <v>0.27</v>
      </c>
      <c r="E50" s="68">
        <v>0.36599999999999999</v>
      </c>
      <c r="N50" s="58">
        <v>2017</v>
      </c>
      <c r="O50" s="62">
        <v>8283</v>
      </c>
      <c r="P50" s="68">
        <v>0.29499999999999998</v>
      </c>
      <c r="Q50" s="68">
        <v>0.40400000000000003</v>
      </c>
      <c r="R50" s="68">
        <v>0.52700000000000002</v>
      </c>
    </row>
    <row r="51" spans="1:22" x14ac:dyDescent="0.3">
      <c r="A51" s="58">
        <v>2018</v>
      </c>
      <c r="B51" s="62">
        <v>2657</v>
      </c>
      <c r="C51" s="68">
        <v>0.185</v>
      </c>
      <c r="D51" s="68">
        <v>0.27100000000000002</v>
      </c>
      <c r="E51" s="68">
        <v>0.36899999999999999</v>
      </c>
      <c r="N51" s="58">
        <v>2018</v>
      </c>
      <c r="O51" s="62">
        <v>8308</v>
      </c>
      <c r="P51" s="68">
        <v>0.29299999999999998</v>
      </c>
      <c r="Q51" s="68">
        <v>0.4</v>
      </c>
      <c r="R51" s="68">
        <v>0.52500000000000002</v>
      </c>
    </row>
    <row r="52" spans="1:22" x14ac:dyDescent="0.3">
      <c r="A52" s="69"/>
      <c r="B52" s="70"/>
      <c r="C52" s="71"/>
      <c r="D52" s="71"/>
      <c r="E52" s="71"/>
      <c r="N52" s="69"/>
      <c r="O52" s="70"/>
      <c r="P52" s="71"/>
      <c r="Q52" s="71"/>
      <c r="R52" s="71"/>
    </row>
    <row r="53" spans="1:22" x14ac:dyDescent="0.3">
      <c r="A53" s="61" t="str">
        <f>CONCATENATE("Table 48a. Six-Year Completion Rates for Class of ",A55," and ",A56, ", Student-Weighted Totals")</f>
        <v>Table 48a. Six-Year Completion Rates for Class of 2017 and 2018, Student-Weighted Totals</v>
      </c>
      <c r="B53" s="54"/>
      <c r="N53" s="61" t="str">
        <f>CONCATENATE("Table 48b. Six-Year Completion Rates for Class of ",,N55," and ",N56, ", Student-Weighted Totals")</f>
        <v>Table 48b. Six-Year Completion Rates for Class of 2017 and 2018, Student-Weighted Totals</v>
      </c>
      <c r="O53" s="54"/>
    </row>
    <row r="54" spans="1:22" ht="28.8" x14ac:dyDescent="0.3">
      <c r="A54" s="55"/>
      <c r="B54" s="56" t="s">
        <v>41</v>
      </c>
      <c r="C54" s="57" t="s">
        <v>42</v>
      </c>
      <c r="D54" s="57" t="s">
        <v>18</v>
      </c>
      <c r="E54" s="57" t="s">
        <v>19</v>
      </c>
      <c r="F54" s="57" t="s">
        <v>43</v>
      </c>
      <c r="G54" s="57" t="s">
        <v>44</v>
      </c>
      <c r="H54" s="57" t="s">
        <v>45</v>
      </c>
      <c r="I54" s="57" t="s">
        <v>46</v>
      </c>
      <c r="N54" s="55"/>
      <c r="O54" s="56" t="s">
        <v>41</v>
      </c>
      <c r="P54" s="57" t="s">
        <v>42</v>
      </c>
      <c r="Q54" s="57" t="s">
        <v>18</v>
      </c>
      <c r="R54" s="57" t="s">
        <v>19</v>
      </c>
      <c r="S54" s="57" t="s">
        <v>43</v>
      </c>
      <c r="T54" s="57" t="s">
        <v>44</v>
      </c>
      <c r="U54" s="57" t="s">
        <v>45</v>
      </c>
      <c r="V54" s="57" t="s">
        <v>46</v>
      </c>
    </row>
    <row r="55" spans="1:22" x14ac:dyDescent="0.3">
      <c r="A55" s="58">
        <v>2017</v>
      </c>
      <c r="B55" s="56">
        <v>661655</v>
      </c>
      <c r="C55" s="59">
        <v>0.312</v>
      </c>
      <c r="D55" s="59">
        <v>0.255</v>
      </c>
      <c r="E55" s="59">
        <v>5.7000000000000002E-2</v>
      </c>
      <c r="F55" s="59">
        <v>8.6999999999999994E-2</v>
      </c>
      <c r="G55" s="59">
        <v>0.22500000000000001</v>
      </c>
      <c r="H55" s="59">
        <v>0.26400000000000001</v>
      </c>
      <c r="I55" s="59">
        <v>4.8000000000000001E-2</v>
      </c>
      <c r="N55" s="58">
        <v>2017</v>
      </c>
      <c r="O55" s="56">
        <v>1316093</v>
      </c>
      <c r="P55" s="59">
        <v>0.47599999999999998</v>
      </c>
      <c r="Q55" s="59">
        <v>0.35799999999999998</v>
      </c>
      <c r="R55" s="59">
        <v>0.11799999999999999</v>
      </c>
      <c r="S55" s="59">
        <v>8.8999999999999996E-2</v>
      </c>
      <c r="T55" s="59">
        <v>0.38800000000000001</v>
      </c>
      <c r="U55" s="59">
        <v>0.35599999999999998</v>
      </c>
      <c r="V55" s="59">
        <v>0.121</v>
      </c>
    </row>
    <row r="56" spans="1:22" x14ac:dyDescent="0.3">
      <c r="A56" s="58">
        <v>2018</v>
      </c>
      <c r="B56" s="56">
        <v>750950</v>
      </c>
      <c r="C56" s="59">
        <v>0.314</v>
      </c>
      <c r="D56" s="59">
        <v>0.25700000000000001</v>
      </c>
      <c r="E56" s="59">
        <v>5.7000000000000002E-2</v>
      </c>
      <c r="F56" s="59">
        <v>8.5999999999999993E-2</v>
      </c>
      <c r="G56" s="59">
        <v>0.22800000000000001</v>
      </c>
      <c r="H56" s="59">
        <v>0.26400000000000001</v>
      </c>
      <c r="I56" s="59">
        <v>0.05</v>
      </c>
      <c r="N56" s="58">
        <v>2018</v>
      </c>
      <c r="O56" s="56">
        <v>1346689</v>
      </c>
      <c r="P56" s="59">
        <v>0.47699999999999998</v>
      </c>
      <c r="Q56" s="59">
        <v>0.35899999999999999</v>
      </c>
      <c r="R56" s="59">
        <v>0.11799999999999999</v>
      </c>
      <c r="S56" s="59">
        <v>8.7999999999999995E-2</v>
      </c>
      <c r="T56" s="59">
        <v>0.38900000000000001</v>
      </c>
      <c r="U56" s="59">
        <v>0.35399999999999998</v>
      </c>
      <c r="V56" s="59">
        <v>0.123</v>
      </c>
    </row>
  </sheetData>
  <mergeCells count="2">
    <mergeCell ref="A2:L2"/>
    <mergeCell ref="N2:Y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63F71-3630-4F6C-B9D2-7093889626AC}">
  <dimension ref="A1:AL56"/>
  <sheetViews>
    <sheetView topLeftCell="A27" zoomScale="80" zoomScaleNormal="80" workbookViewId="0">
      <selection activeCell="Z60" sqref="Z60"/>
    </sheetView>
  </sheetViews>
  <sheetFormatPr defaultRowHeight="14.4" x14ac:dyDescent="0.3"/>
  <cols>
    <col min="2" max="2" width="14.5546875" customWidth="1"/>
    <col min="3" max="3" width="11.5546875" customWidth="1"/>
    <col min="4" max="4" width="10.5546875" customWidth="1"/>
    <col min="5" max="5" width="11.6640625" customWidth="1"/>
    <col min="13" max="13" width="13.6640625" customWidth="1"/>
    <col min="15" max="15" width="13.33203125" customWidth="1"/>
    <col min="16" max="16" width="11.5546875" customWidth="1"/>
    <col min="17" max="17" width="10.33203125" customWidth="1"/>
    <col min="18" max="18" width="10.109375" customWidth="1"/>
    <col min="26" max="26" width="13.6640625" customWidth="1"/>
    <col min="28" max="28" width="13.33203125" customWidth="1"/>
    <col min="29" max="29" width="11.5546875" customWidth="1"/>
    <col min="30" max="30" width="10.33203125" customWidth="1"/>
    <col min="31" max="31" width="10.109375" customWidth="1"/>
  </cols>
  <sheetData>
    <row r="1" spans="1:38" ht="28.8" x14ac:dyDescent="0.3">
      <c r="A1" s="49" t="s">
        <v>50</v>
      </c>
      <c r="B1" s="50"/>
      <c r="C1" s="50"/>
      <c r="D1" s="50"/>
      <c r="E1" s="50"/>
      <c r="F1" s="50"/>
      <c r="G1" s="50"/>
      <c r="H1" s="50"/>
      <c r="I1" s="50"/>
      <c r="J1" s="50"/>
      <c r="K1" s="50"/>
      <c r="L1" s="50"/>
      <c r="M1" s="50"/>
      <c r="N1" s="50"/>
      <c r="O1" s="50"/>
      <c r="P1" s="50"/>
      <c r="Q1" s="50"/>
      <c r="R1" s="50"/>
      <c r="S1" s="50"/>
      <c r="T1" s="50"/>
      <c r="U1" s="50"/>
      <c r="V1" s="50"/>
      <c r="W1" s="50"/>
      <c r="X1" s="50"/>
      <c r="Y1" s="50"/>
    </row>
    <row r="2" spans="1:38" ht="18" x14ac:dyDescent="0.3">
      <c r="A2" s="110" t="s">
        <v>51</v>
      </c>
      <c r="B2" s="110"/>
      <c r="C2" s="110"/>
      <c r="D2" s="110"/>
      <c r="E2" s="110"/>
      <c r="F2" s="110"/>
      <c r="G2" s="110"/>
      <c r="H2" s="110"/>
      <c r="I2" s="110"/>
      <c r="J2" s="110"/>
      <c r="K2" s="110"/>
      <c r="L2" s="110"/>
      <c r="M2" s="51"/>
      <c r="N2" s="110" t="s">
        <v>52</v>
      </c>
      <c r="O2" s="110"/>
      <c r="P2" s="110"/>
      <c r="Q2" s="110"/>
      <c r="R2" s="110"/>
      <c r="S2" s="110"/>
      <c r="T2" s="110"/>
      <c r="U2" s="110"/>
      <c r="V2" s="110"/>
      <c r="W2" s="110"/>
      <c r="X2" s="110"/>
      <c r="Y2" s="110"/>
      <c r="AA2" s="110" t="s">
        <v>53</v>
      </c>
      <c r="AB2" s="110"/>
      <c r="AC2" s="110"/>
      <c r="AD2" s="110"/>
      <c r="AE2" s="110"/>
      <c r="AF2" s="110"/>
      <c r="AG2" s="110"/>
      <c r="AH2" s="110"/>
      <c r="AI2" s="110"/>
      <c r="AJ2" s="110"/>
      <c r="AK2" s="110"/>
      <c r="AL2" s="110"/>
    </row>
    <row r="3" spans="1:38" x14ac:dyDescent="0.3">
      <c r="A3" s="52"/>
      <c r="B3" s="52"/>
      <c r="C3" s="52"/>
      <c r="D3" s="52"/>
      <c r="E3" s="52"/>
      <c r="F3" s="52"/>
      <c r="G3" s="52"/>
      <c r="H3" s="52"/>
      <c r="I3" s="52"/>
      <c r="J3" s="52"/>
      <c r="K3" s="52"/>
      <c r="L3" s="52"/>
      <c r="M3" s="53"/>
      <c r="N3" s="52"/>
      <c r="O3" s="52"/>
      <c r="P3" s="52"/>
      <c r="Q3" s="52"/>
      <c r="R3" s="52"/>
      <c r="S3" s="52"/>
      <c r="T3" s="52"/>
      <c r="U3" s="52"/>
      <c r="V3" s="52"/>
      <c r="W3" s="52"/>
      <c r="X3" s="52"/>
      <c r="Y3" s="52"/>
      <c r="AA3" s="52"/>
      <c r="AB3" s="52"/>
      <c r="AC3" s="52"/>
      <c r="AD3" s="52"/>
      <c r="AE3" s="52"/>
      <c r="AF3" s="52"/>
      <c r="AG3" s="52"/>
      <c r="AH3" s="52"/>
      <c r="AI3" s="52"/>
      <c r="AJ3" s="52"/>
      <c r="AK3" s="52"/>
      <c r="AL3" s="52"/>
    </row>
    <row r="4" spans="1:38" x14ac:dyDescent="0.3">
      <c r="A4" s="2" t="str">
        <f>CONCATENATE("Table 49a. College Enrollment Rates in the First Fall after High School Graduation for Classes ",A6," and ",A7,", School Percentile Distribution")</f>
        <v>Table 49a. College Enrollment Rates in the First Fall after High School Graduation for Classes 2023 and 2024, School Percentile Distribution</v>
      </c>
      <c r="B4" s="54"/>
      <c r="N4" s="2" t="str">
        <f>CONCATENATE("Table 49b. College Enrollment Rates in the First Fall after High School Graduation for Classes ",N6," and ",N7,", School Percentile Distribution")</f>
        <v>Table 49b. College Enrollment Rates in the First Fall after High School Graduation for Classes 2023 and 2024, School Percentile Distribution</v>
      </c>
      <c r="O4" s="54"/>
      <c r="AA4" s="2" t="str">
        <f>CONCATENATE("Table 49c. College Enrollment Rates in the First Fall after High School Graduation for Classes ",AA6," and ",AA7,", School Percentile Distribution")</f>
        <v>Table 49c. College Enrollment Rates in the First Fall after High School Graduation for Classes 2023 and 2024, School Percentile Distribution</v>
      </c>
      <c r="AB4" s="54"/>
    </row>
    <row r="5" spans="1:38" ht="28.8" x14ac:dyDescent="0.3">
      <c r="A5" s="55"/>
      <c r="B5" s="56" t="s">
        <v>37</v>
      </c>
      <c r="C5" s="57" t="s">
        <v>38</v>
      </c>
      <c r="D5" s="57" t="s">
        <v>39</v>
      </c>
      <c r="E5" s="57" t="s">
        <v>40</v>
      </c>
      <c r="N5" s="55"/>
      <c r="O5" s="56" t="s">
        <v>37</v>
      </c>
      <c r="P5" s="57" t="s">
        <v>38</v>
      </c>
      <c r="Q5" s="57" t="s">
        <v>39</v>
      </c>
      <c r="R5" s="57" t="s">
        <v>40</v>
      </c>
      <c r="AA5" s="55"/>
      <c r="AB5" s="56" t="s">
        <v>37</v>
      </c>
      <c r="AC5" s="57" t="s">
        <v>38</v>
      </c>
      <c r="AD5" s="57" t="s">
        <v>39</v>
      </c>
      <c r="AE5" s="57" t="s">
        <v>40</v>
      </c>
    </row>
    <row r="6" spans="1:38" x14ac:dyDescent="0.3">
      <c r="A6" s="74">
        <v>2023</v>
      </c>
      <c r="B6" s="65">
        <v>2120</v>
      </c>
      <c r="C6" s="47">
        <v>0.41</v>
      </c>
      <c r="D6" s="47">
        <v>0.56200000000000006</v>
      </c>
      <c r="E6" s="47">
        <v>0.71499999999999997</v>
      </c>
      <c r="G6" s="60"/>
      <c r="I6" s="60"/>
      <c r="N6" s="74">
        <v>2023</v>
      </c>
      <c r="O6" s="65">
        <v>2904</v>
      </c>
      <c r="P6" s="47">
        <v>0.48699999999999999</v>
      </c>
      <c r="Q6" s="47">
        <v>0.621</v>
      </c>
      <c r="R6" s="47">
        <v>0.749</v>
      </c>
      <c r="T6" s="60"/>
      <c r="V6" s="60"/>
      <c r="AA6" s="74">
        <v>2023</v>
      </c>
      <c r="AB6" s="65">
        <v>6117</v>
      </c>
      <c r="AC6" s="47">
        <v>0.40699999999999997</v>
      </c>
      <c r="AD6" s="47">
        <v>0.50600000000000001</v>
      </c>
      <c r="AE6" s="47">
        <v>0.61499999999999999</v>
      </c>
      <c r="AG6" s="60"/>
      <c r="AI6" s="60"/>
    </row>
    <row r="7" spans="1:38" x14ac:dyDescent="0.3">
      <c r="A7" s="74">
        <v>2024</v>
      </c>
      <c r="B7" s="65">
        <v>2031</v>
      </c>
      <c r="C7" s="47">
        <v>0.42399999999999999</v>
      </c>
      <c r="D7" s="47">
        <v>0.56399999999999995</v>
      </c>
      <c r="E7" s="47">
        <v>0.70899999999999996</v>
      </c>
      <c r="N7" s="74">
        <v>2024</v>
      </c>
      <c r="O7" s="65">
        <v>2325</v>
      </c>
      <c r="P7" s="47">
        <v>0.47599999999999998</v>
      </c>
      <c r="Q7" s="47">
        <v>0.621</v>
      </c>
      <c r="R7" s="47">
        <v>0.752</v>
      </c>
      <c r="AA7" s="74">
        <v>2024</v>
      </c>
      <c r="AB7" s="65">
        <v>5198</v>
      </c>
      <c r="AC7" s="47">
        <v>0.40799999999999997</v>
      </c>
      <c r="AD7" s="47">
        <v>0.50700000000000001</v>
      </c>
      <c r="AE7" s="47">
        <v>0.61499999999999999</v>
      </c>
    </row>
    <row r="8" spans="1:38" x14ac:dyDescent="0.3">
      <c r="B8" s="54"/>
      <c r="O8" s="54"/>
      <c r="AB8" s="54"/>
    </row>
    <row r="9" spans="1:38" x14ac:dyDescent="0.3">
      <c r="A9" s="2" t="str">
        <f>CONCATENATE("Table 50a. College Enrollment Rates in the First Fall after High School Graduation for Classes ",A11," and ",A12,", Student-Weighted Totals")</f>
        <v>Table 50a. College Enrollment Rates in the First Fall after High School Graduation for Classes 2023 and 2024, Student-Weighted Totals</v>
      </c>
      <c r="B9" s="54"/>
      <c r="N9" s="2" t="str">
        <f>CONCATENATE("Table 50b. College Enrollment Rates in the First Fall after High School Graduation for Classes ",N11," and ",N12,", Student-Weighted Totals")</f>
        <v>Table 50b. College Enrollment Rates in the First Fall after High School Graduation for Classes 2023 and 2024, Student-Weighted Totals</v>
      </c>
      <c r="O9" s="54"/>
      <c r="AA9" s="2" t="str">
        <f>CONCATENATE("Table 50c. College Enrollment Rates in the First Fall after High School Graduation for Classes ",AA11," and ",AA12,", Student-Weighted Totals")</f>
        <v>Table 50c. College Enrollment Rates in the First Fall after High School Graduation for Classes 2023 and 2024, Student-Weighted Totals</v>
      </c>
      <c r="AB9" s="54"/>
    </row>
    <row r="10" spans="1:38" ht="28.8" x14ac:dyDescent="0.3">
      <c r="A10" s="55"/>
      <c r="B10" s="56" t="s">
        <v>41</v>
      </c>
      <c r="C10" s="57" t="s">
        <v>42</v>
      </c>
      <c r="D10" s="57" t="s">
        <v>18</v>
      </c>
      <c r="E10" s="57" t="s">
        <v>19</v>
      </c>
      <c r="F10" s="57" t="s">
        <v>43</v>
      </c>
      <c r="G10" s="57" t="s">
        <v>44</v>
      </c>
      <c r="H10" s="57" t="s">
        <v>45</v>
      </c>
      <c r="I10" s="57" t="s">
        <v>46</v>
      </c>
      <c r="N10" s="55"/>
      <c r="O10" s="56" t="s">
        <v>41</v>
      </c>
      <c r="P10" s="57" t="s">
        <v>42</v>
      </c>
      <c r="Q10" s="57" t="s">
        <v>18</v>
      </c>
      <c r="R10" s="57" t="s">
        <v>19</v>
      </c>
      <c r="S10" s="57" t="s">
        <v>43</v>
      </c>
      <c r="T10" s="57" t="s">
        <v>44</v>
      </c>
      <c r="U10" s="57" t="s">
        <v>45</v>
      </c>
      <c r="V10" s="57" t="s">
        <v>46</v>
      </c>
      <c r="AA10" s="55"/>
      <c r="AB10" s="56" t="s">
        <v>41</v>
      </c>
      <c r="AC10" s="57" t="s">
        <v>42</v>
      </c>
      <c r="AD10" s="57" t="s">
        <v>18</v>
      </c>
      <c r="AE10" s="57" t="s">
        <v>19</v>
      </c>
      <c r="AF10" s="57" t="s">
        <v>43</v>
      </c>
      <c r="AG10" s="57" t="s">
        <v>44</v>
      </c>
      <c r="AH10" s="57" t="s">
        <v>45</v>
      </c>
      <c r="AI10" s="57" t="s">
        <v>46</v>
      </c>
    </row>
    <row r="11" spans="1:38" x14ac:dyDescent="0.3">
      <c r="A11" s="74">
        <v>2023</v>
      </c>
      <c r="B11" s="65">
        <v>561083</v>
      </c>
      <c r="C11" s="47">
        <v>0.59499999999999997</v>
      </c>
      <c r="D11" s="47">
        <v>0.5</v>
      </c>
      <c r="E11" s="47">
        <v>9.5000000000000001E-2</v>
      </c>
      <c r="F11" s="47">
        <v>0.19500000000000001</v>
      </c>
      <c r="G11" s="47">
        <v>0.4</v>
      </c>
      <c r="H11" s="47">
        <v>0.48699999999999999</v>
      </c>
      <c r="I11" s="47">
        <v>0.107</v>
      </c>
      <c r="N11" s="74">
        <v>2023</v>
      </c>
      <c r="O11" s="65">
        <v>904257</v>
      </c>
      <c r="P11" s="47">
        <v>0.63600000000000001</v>
      </c>
      <c r="Q11" s="47">
        <v>0.505</v>
      </c>
      <c r="R11" s="47">
        <v>0.13200000000000001</v>
      </c>
      <c r="S11" s="47">
        <v>0.16900000000000001</v>
      </c>
      <c r="T11" s="47">
        <v>0.46700000000000003</v>
      </c>
      <c r="U11" s="47">
        <v>0.48699999999999999</v>
      </c>
      <c r="V11" s="47">
        <v>0.14899999999999999</v>
      </c>
      <c r="AA11" s="74">
        <v>2023</v>
      </c>
      <c r="AB11" s="65">
        <v>592277</v>
      </c>
      <c r="AC11" s="47">
        <v>0.54300000000000004</v>
      </c>
      <c r="AD11" s="47">
        <v>0.44500000000000001</v>
      </c>
      <c r="AE11" s="47">
        <v>9.8000000000000004E-2</v>
      </c>
      <c r="AF11" s="47">
        <v>0.16700000000000001</v>
      </c>
      <c r="AG11" s="47">
        <v>0.376</v>
      </c>
      <c r="AH11" s="47">
        <v>0.439</v>
      </c>
      <c r="AI11" s="47">
        <v>0.104</v>
      </c>
    </row>
    <row r="12" spans="1:38" x14ac:dyDescent="0.3">
      <c r="A12" s="74">
        <v>2024</v>
      </c>
      <c r="B12" s="65">
        <v>552713</v>
      </c>
      <c r="C12" s="47">
        <v>0.59499999999999997</v>
      </c>
      <c r="D12" s="47">
        <v>0.50800000000000001</v>
      </c>
      <c r="E12" s="47">
        <v>8.7999999999999995E-2</v>
      </c>
      <c r="F12" s="47">
        <v>0.20300000000000001</v>
      </c>
      <c r="G12" s="47">
        <v>0.39300000000000002</v>
      </c>
      <c r="H12" s="47">
        <v>0.48899999999999999</v>
      </c>
      <c r="I12" s="47">
        <v>0.106</v>
      </c>
      <c r="N12" s="74">
        <v>2024</v>
      </c>
      <c r="O12" s="65">
        <v>760658</v>
      </c>
      <c r="P12" s="47">
        <v>0.63400000000000001</v>
      </c>
      <c r="Q12" s="47">
        <v>0.51800000000000002</v>
      </c>
      <c r="R12" s="47">
        <v>0.11600000000000001</v>
      </c>
      <c r="S12" s="47">
        <v>0.18099999999999999</v>
      </c>
      <c r="T12" s="47">
        <v>0.45300000000000001</v>
      </c>
      <c r="U12" s="47">
        <v>0.495</v>
      </c>
      <c r="V12" s="47">
        <v>0.13900000000000001</v>
      </c>
      <c r="AA12" s="74">
        <v>2024</v>
      </c>
      <c r="AB12" s="65">
        <v>505520</v>
      </c>
      <c r="AC12" s="47">
        <v>0.53200000000000003</v>
      </c>
      <c r="AD12" s="47">
        <v>0.443</v>
      </c>
      <c r="AE12" s="47">
        <v>8.8999999999999996E-2</v>
      </c>
      <c r="AF12" s="47">
        <v>0.17199999999999999</v>
      </c>
      <c r="AG12" s="47">
        <v>0.36099999999999999</v>
      </c>
      <c r="AH12" s="47">
        <v>0.436</v>
      </c>
      <c r="AI12" s="47">
        <v>9.7000000000000003E-2</v>
      </c>
    </row>
    <row r="15" spans="1:38" x14ac:dyDescent="0.3">
      <c r="A15" s="61" t="str">
        <f>CONCATENATE("Table 51a. College Enrollment Rates in the First Year after High School Graduation for Classes ",A17," and ",A18,", School Percentile Distribution")</f>
        <v>Table 51a. College Enrollment Rates in the First Year after High School Graduation for Classes 2022 and 2023, School Percentile Distribution</v>
      </c>
      <c r="B15" s="54"/>
      <c r="N15" s="61" t="str">
        <f>CONCATENATE("Table 51b. College Enrollment Rates in the First Year after High School Graduation for Classes ",N17," and ",N18,", School Percentile Distribution")</f>
        <v>Table 51b. College Enrollment Rates in the First Year after High School Graduation for Classes 2022 and 2023, School Percentile Distribution</v>
      </c>
      <c r="O15" s="54"/>
      <c r="AA15" s="61" t="str">
        <f>CONCATENATE("Table 51c. College Enrollment Rates in the First Year after High School Graduation for Classes ",AA17," and ",AA18,", School Percentile Distribution")</f>
        <v>Table 51c. College Enrollment Rates in the First Year after High School Graduation for Classes 2022 and 2023, School Percentile Distribution</v>
      </c>
      <c r="AB15" s="54"/>
    </row>
    <row r="16" spans="1:38" ht="28.8" x14ac:dyDescent="0.3">
      <c r="A16" s="55"/>
      <c r="B16" s="56" t="s">
        <v>37</v>
      </c>
      <c r="C16" s="56" t="s">
        <v>38</v>
      </c>
      <c r="D16" s="56" t="s">
        <v>39</v>
      </c>
      <c r="E16" s="56" t="s">
        <v>40</v>
      </c>
      <c r="N16" s="55"/>
      <c r="O16" s="56" t="s">
        <v>37</v>
      </c>
      <c r="P16" s="56" t="s">
        <v>38</v>
      </c>
      <c r="Q16" s="56" t="s">
        <v>39</v>
      </c>
      <c r="R16" s="56" t="s">
        <v>40</v>
      </c>
      <c r="AA16" s="55"/>
      <c r="AB16" s="56" t="s">
        <v>37</v>
      </c>
      <c r="AC16" s="56" t="s">
        <v>38</v>
      </c>
      <c r="AD16" s="56" t="s">
        <v>39</v>
      </c>
      <c r="AE16" s="56" t="s">
        <v>40</v>
      </c>
    </row>
    <row r="17" spans="1:35" x14ac:dyDescent="0.3">
      <c r="A17" s="74">
        <v>2022</v>
      </c>
      <c r="B17" s="65">
        <v>2129</v>
      </c>
      <c r="C17" s="47">
        <v>0.44400000000000001</v>
      </c>
      <c r="D17" s="47">
        <v>0.57899999999999996</v>
      </c>
      <c r="E17" s="47">
        <v>0.72299999999999998</v>
      </c>
      <c r="N17" s="74">
        <v>2022</v>
      </c>
      <c r="O17" s="65">
        <v>2910</v>
      </c>
      <c r="P17" s="47">
        <v>0.51500000000000001</v>
      </c>
      <c r="Q17" s="47">
        <v>0.64900000000000002</v>
      </c>
      <c r="R17" s="47">
        <v>0.77100000000000002</v>
      </c>
      <c r="AA17" s="74">
        <v>2022</v>
      </c>
      <c r="AB17" s="65">
        <v>6194</v>
      </c>
      <c r="AC17" s="47">
        <v>0.42599999999999999</v>
      </c>
      <c r="AD17" s="47">
        <v>0.53100000000000003</v>
      </c>
      <c r="AE17" s="47">
        <v>0.63400000000000001</v>
      </c>
    </row>
    <row r="18" spans="1:35" x14ac:dyDescent="0.3">
      <c r="A18" s="74">
        <v>2023</v>
      </c>
      <c r="B18" s="65">
        <v>2120</v>
      </c>
      <c r="C18" s="47">
        <v>0.45100000000000001</v>
      </c>
      <c r="D18" s="47">
        <v>0.59499999999999997</v>
      </c>
      <c r="E18" s="47">
        <v>0.746</v>
      </c>
      <c r="N18" s="74">
        <v>2023</v>
      </c>
      <c r="O18" s="65">
        <v>2904</v>
      </c>
      <c r="P18" s="47">
        <v>0.52800000000000002</v>
      </c>
      <c r="Q18" s="47">
        <v>0.65300000000000002</v>
      </c>
      <c r="R18" s="47">
        <v>0.77500000000000002</v>
      </c>
      <c r="AA18" s="74">
        <v>2023</v>
      </c>
      <c r="AB18" s="65">
        <v>6117</v>
      </c>
      <c r="AC18" s="47">
        <v>0.435</v>
      </c>
      <c r="AD18" s="47">
        <v>0.53700000000000003</v>
      </c>
      <c r="AE18" s="47">
        <v>0.64</v>
      </c>
    </row>
    <row r="19" spans="1:35" x14ac:dyDescent="0.3">
      <c r="B19" s="54"/>
      <c r="O19" s="54"/>
      <c r="AB19" s="54"/>
    </row>
    <row r="20" spans="1:35" x14ac:dyDescent="0.3">
      <c r="A20" s="61" t="str">
        <f>CONCATENATE("Table 52a. College Enrollment Rates in the First Year after High School Graduation for Classes ",A22," and ",A23,", Student-Weighted Totals")</f>
        <v>Table 52a. College Enrollment Rates in the First Year after High School Graduation for Classes 2022 and 2023, Student-Weighted Totals</v>
      </c>
      <c r="B20" s="54"/>
      <c r="N20" s="61" t="str">
        <f>CONCATENATE("Table 52b. College Enrollment Rates in the First Year after High School Graduation for Classes ",N22," and ",N23,", Student-Weighted Totals")</f>
        <v>Table 52b. College Enrollment Rates in the First Year after High School Graduation for Classes 2022 and 2023, Student-Weighted Totals</v>
      </c>
      <c r="O20" s="54"/>
      <c r="AA20" s="61" t="str">
        <f>CONCATENATE("Table 52c. College Enrollment Rates in the First Year after High School Graduation for Classes ",AA22," and ",AA23,", Student-Weighted Totals")</f>
        <v>Table 52c. College Enrollment Rates in the First Year after High School Graduation for Classes 2022 and 2023, Student-Weighted Totals</v>
      </c>
      <c r="AB20" s="54"/>
    </row>
    <row r="21" spans="1:35" ht="28.8" x14ac:dyDescent="0.3">
      <c r="A21" s="55"/>
      <c r="B21" s="56" t="s">
        <v>41</v>
      </c>
      <c r="C21" s="57" t="s">
        <v>42</v>
      </c>
      <c r="D21" s="57" t="s">
        <v>18</v>
      </c>
      <c r="E21" s="57" t="s">
        <v>19</v>
      </c>
      <c r="F21" s="57" t="s">
        <v>43</v>
      </c>
      <c r="G21" s="57" t="s">
        <v>44</v>
      </c>
      <c r="H21" s="57" t="s">
        <v>45</v>
      </c>
      <c r="I21" s="57" t="s">
        <v>46</v>
      </c>
      <c r="N21" s="55"/>
      <c r="O21" s="56" t="s">
        <v>41</v>
      </c>
      <c r="P21" s="57" t="s">
        <v>42</v>
      </c>
      <c r="Q21" s="57" t="s">
        <v>18</v>
      </c>
      <c r="R21" s="57" t="s">
        <v>19</v>
      </c>
      <c r="S21" s="57" t="s">
        <v>43</v>
      </c>
      <c r="T21" s="57" t="s">
        <v>44</v>
      </c>
      <c r="U21" s="57" t="s">
        <v>45</v>
      </c>
      <c r="V21" s="57" t="s">
        <v>46</v>
      </c>
      <c r="AA21" s="55"/>
      <c r="AB21" s="56" t="s">
        <v>41</v>
      </c>
      <c r="AC21" s="57" t="s">
        <v>42</v>
      </c>
      <c r="AD21" s="57" t="s">
        <v>18</v>
      </c>
      <c r="AE21" s="57" t="s">
        <v>19</v>
      </c>
      <c r="AF21" s="57" t="s">
        <v>43</v>
      </c>
      <c r="AG21" s="57" t="s">
        <v>44</v>
      </c>
      <c r="AH21" s="57" t="s">
        <v>45</v>
      </c>
      <c r="AI21" s="57" t="s">
        <v>46</v>
      </c>
    </row>
    <row r="22" spans="1:35" x14ac:dyDescent="0.3">
      <c r="A22" s="74">
        <v>2022</v>
      </c>
      <c r="B22" s="65">
        <v>578787</v>
      </c>
      <c r="C22" s="47">
        <v>0.61499999999999999</v>
      </c>
      <c r="D22" s="47">
        <v>0.51700000000000002</v>
      </c>
      <c r="E22" s="47">
        <v>9.8000000000000004E-2</v>
      </c>
      <c r="F22" s="47">
        <v>0.21099999999999999</v>
      </c>
      <c r="G22" s="47">
        <v>0.40400000000000003</v>
      </c>
      <c r="H22" s="47">
        <v>0.5</v>
      </c>
      <c r="I22" s="47">
        <v>0.115</v>
      </c>
      <c r="N22" s="74">
        <v>2022</v>
      </c>
      <c r="O22" s="65">
        <v>919334</v>
      </c>
      <c r="P22" s="47">
        <v>0.66500000000000004</v>
      </c>
      <c r="Q22" s="47">
        <v>0.52700000000000002</v>
      </c>
      <c r="R22" s="47">
        <v>0.13800000000000001</v>
      </c>
      <c r="S22" s="47">
        <v>0.184</v>
      </c>
      <c r="T22" s="47">
        <v>0.48</v>
      </c>
      <c r="U22" s="47">
        <v>0.50600000000000001</v>
      </c>
      <c r="V22" s="47">
        <v>0.159</v>
      </c>
      <c r="AA22" s="74">
        <v>2022</v>
      </c>
      <c r="AB22" s="65">
        <v>598600</v>
      </c>
      <c r="AC22" s="47">
        <v>0.56599999999999995</v>
      </c>
      <c r="AD22" s="47">
        <v>0.46300000000000002</v>
      </c>
      <c r="AE22" s="47">
        <v>0.10199999999999999</v>
      </c>
      <c r="AF22" s="47">
        <v>0.183</v>
      </c>
      <c r="AG22" s="47">
        <v>0.38300000000000001</v>
      </c>
      <c r="AH22" s="47">
        <v>0.45400000000000001</v>
      </c>
      <c r="AI22" s="47">
        <v>0.111</v>
      </c>
    </row>
    <row r="23" spans="1:35" x14ac:dyDescent="0.3">
      <c r="A23" s="74">
        <v>2023</v>
      </c>
      <c r="B23" s="65">
        <v>561083</v>
      </c>
      <c r="C23" s="47">
        <v>0.629</v>
      </c>
      <c r="D23" s="47">
        <v>0.53</v>
      </c>
      <c r="E23" s="47">
        <v>9.9000000000000005E-2</v>
      </c>
      <c r="F23" s="47">
        <v>0.215</v>
      </c>
      <c r="G23" s="47">
        <v>0.41399999999999998</v>
      </c>
      <c r="H23" s="47">
        <v>0.51700000000000002</v>
      </c>
      <c r="I23" s="47">
        <v>0.113</v>
      </c>
      <c r="N23" s="74">
        <v>2023</v>
      </c>
      <c r="O23" s="65">
        <v>904257</v>
      </c>
      <c r="P23" s="47">
        <v>0.66900000000000004</v>
      </c>
      <c r="Q23" s="47">
        <v>0.53300000000000003</v>
      </c>
      <c r="R23" s="47">
        <v>0.13600000000000001</v>
      </c>
      <c r="S23" s="47">
        <v>0.185</v>
      </c>
      <c r="T23" s="47">
        <v>0.48299999999999998</v>
      </c>
      <c r="U23" s="47">
        <v>0.51500000000000001</v>
      </c>
      <c r="V23" s="47">
        <v>0.154</v>
      </c>
      <c r="AA23" s="74">
        <v>2023</v>
      </c>
      <c r="AB23" s="65">
        <v>592277</v>
      </c>
      <c r="AC23" s="47">
        <v>0.57199999999999995</v>
      </c>
      <c r="AD23" s="47">
        <v>0.47</v>
      </c>
      <c r="AE23" s="47">
        <v>0.10199999999999999</v>
      </c>
      <c r="AF23" s="47">
        <v>0.182</v>
      </c>
      <c r="AG23" s="47">
        <v>0.39</v>
      </c>
      <c r="AH23" s="47">
        <v>0.46300000000000002</v>
      </c>
      <c r="AI23" s="47">
        <v>0.109</v>
      </c>
    </row>
    <row r="26" spans="1:35" x14ac:dyDescent="0.3">
      <c r="A26" s="61" t="str">
        <f>CONCATENATE("Table 53a. College Enrollment Rates in the First Two Years after High School Graduation for Classes ",A28," and ",A29,", School Percentile Distribution")</f>
        <v>Table 53a. College Enrollment Rates in the First Two Years after High School Graduation for Classes 2021 and 2022, School Percentile Distribution</v>
      </c>
      <c r="B26" s="54"/>
      <c r="N26" s="61" t="str">
        <f>CONCATENATE("Table 53b. College Enrollment Rates in the First Two Years after High School Graduation for Classes ",N28," and ",N29,", School Percentile Distribution")</f>
        <v>Table 53b. College Enrollment Rates in the First Two Years after High School Graduation for Classes 2021 and 2022, School Percentile Distribution</v>
      </c>
      <c r="O26" s="54"/>
      <c r="AA26" s="61" t="str">
        <f>CONCATENATE("Table 53c. College Enrollment Rates in the First Two Years after High School Graduation for Classes ",AA28," and ",AA29,", School Percentile Distribution")</f>
        <v>Table 53c. College Enrollment Rates in the First Two Years after High School Graduation for Classes 2021 and 2022, School Percentile Distribution</v>
      </c>
      <c r="AB26" s="54"/>
    </row>
    <row r="27" spans="1:35" ht="28.8" x14ac:dyDescent="0.3">
      <c r="A27" s="55"/>
      <c r="B27" s="56" t="s">
        <v>37</v>
      </c>
      <c r="C27" s="57" t="s">
        <v>38</v>
      </c>
      <c r="D27" s="57" t="s">
        <v>39</v>
      </c>
      <c r="E27" s="57" t="s">
        <v>40</v>
      </c>
      <c r="N27" s="55"/>
      <c r="O27" s="56" t="s">
        <v>37</v>
      </c>
      <c r="P27" s="57" t="s">
        <v>38</v>
      </c>
      <c r="Q27" s="57" t="s">
        <v>39</v>
      </c>
      <c r="R27" s="57" t="s">
        <v>40</v>
      </c>
      <c r="AA27" s="55"/>
      <c r="AB27" s="56" t="s">
        <v>37</v>
      </c>
      <c r="AC27" s="57" t="s">
        <v>38</v>
      </c>
      <c r="AD27" s="57" t="s">
        <v>39</v>
      </c>
      <c r="AE27" s="57" t="s">
        <v>40</v>
      </c>
    </row>
    <row r="28" spans="1:35" x14ac:dyDescent="0.3">
      <c r="A28" s="74">
        <v>2021</v>
      </c>
      <c r="B28" s="65">
        <v>2127</v>
      </c>
      <c r="C28" s="47">
        <v>0.47899999999999998</v>
      </c>
      <c r="D28" s="47">
        <v>0.61499999999999999</v>
      </c>
      <c r="E28" s="47">
        <v>0.75</v>
      </c>
      <c r="N28" s="74">
        <v>2021</v>
      </c>
      <c r="O28" s="65">
        <v>2882</v>
      </c>
      <c r="P28" s="47">
        <v>0.56200000000000006</v>
      </c>
      <c r="Q28" s="47">
        <v>0.68600000000000005</v>
      </c>
      <c r="R28" s="47">
        <v>0.80100000000000005</v>
      </c>
      <c r="AA28" s="74">
        <v>2021</v>
      </c>
      <c r="AB28" s="65">
        <v>6193</v>
      </c>
      <c r="AC28" s="47">
        <v>0.47599999999999998</v>
      </c>
      <c r="AD28" s="47">
        <v>0.57799999999999996</v>
      </c>
      <c r="AE28" s="47">
        <v>0.67200000000000004</v>
      </c>
    </row>
    <row r="29" spans="1:35" x14ac:dyDescent="0.3">
      <c r="A29" s="74">
        <v>2022</v>
      </c>
      <c r="B29" s="65">
        <v>2129</v>
      </c>
      <c r="C29" s="47">
        <v>0.49099999999999999</v>
      </c>
      <c r="D29" s="47">
        <v>0.628</v>
      </c>
      <c r="E29" s="47">
        <v>0.76400000000000001</v>
      </c>
      <c r="N29" s="74">
        <v>2022</v>
      </c>
      <c r="O29" s="65">
        <v>2910</v>
      </c>
      <c r="P29" s="47">
        <v>0.56100000000000005</v>
      </c>
      <c r="Q29" s="47">
        <v>0.68899999999999995</v>
      </c>
      <c r="R29" s="47">
        <v>0.80200000000000005</v>
      </c>
      <c r="AA29" s="74">
        <v>2022</v>
      </c>
      <c r="AB29" s="65">
        <v>6194</v>
      </c>
      <c r="AC29" s="47">
        <v>0.46300000000000002</v>
      </c>
      <c r="AD29" s="47">
        <v>0.56799999999999995</v>
      </c>
      <c r="AE29" s="47">
        <v>0.66700000000000004</v>
      </c>
    </row>
    <row r="30" spans="1:35" x14ac:dyDescent="0.3">
      <c r="B30" s="54"/>
      <c r="O30" s="54"/>
      <c r="AB30" s="54"/>
    </row>
    <row r="31" spans="1:35" x14ac:dyDescent="0.3">
      <c r="A31" s="61" t="str">
        <f>CONCATENATE("Table 54a. College Enrollment Rates in the First Two Years after High School Graduation for Classes ",A33," and ",A34,", Student-Weighted Totals")</f>
        <v>Table 54a. College Enrollment Rates in the First Two Years after High School Graduation for Classes 2021 and 2022, Student-Weighted Totals</v>
      </c>
      <c r="B31" s="54"/>
      <c r="N31" s="61" t="str">
        <f>CONCATENATE("Table 54b. College Enrollment Rates in the First Two Years after High School Graduation for Classes ",N33," and ",N34,", Student-Weighted Totals")</f>
        <v>Table 54b. College Enrollment Rates in the First Two Years after High School Graduation for Classes 2021 and 2022, Student-Weighted Totals</v>
      </c>
      <c r="O31" s="54"/>
      <c r="AA31" s="61" t="str">
        <f>CONCATENATE("Table 54c. College Enrollment Rates in the First Two Years after High School Graduation for Classes ",AA33," and ",AA34,", Student-Weighted Totals")</f>
        <v>Table 54c. College Enrollment Rates in the First Two Years after High School Graduation for Classes 2021 and 2022, Student-Weighted Totals</v>
      </c>
      <c r="AB31" s="54"/>
    </row>
    <row r="32" spans="1:35" ht="28.8" x14ac:dyDescent="0.3">
      <c r="A32" s="55"/>
      <c r="B32" s="56" t="s">
        <v>41</v>
      </c>
      <c r="C32" s="57" t="s">
        <v>42</v>
      </c>
      <c r="D32" s="57" t="s">
        <v>18</v>
      </c>
      <c r="E32" s="57" t="s">
        <v>19</v>
      </c>
      <c r="F32" s="57" t="s">
        <v>43</v>
      </c>
      <c r="G32" s="57" t="s">
        <v>44</v>
      </c>
      <c r="H32" s="57" t="s">
        <v>45</v>
      </c>
      <c r="I32" s="57" t="s">
        <v>46</v>
      </c>
      <c r="N32" s="55"/>
      <c r="O32" s="56" t="s">
        <v>41</v>
      </c>
      <c r="P32" s="57" t="s">
        <v>42</v>
      </c>
      <c r="Q32" s="57" t="s">
        <v>18</v>
      </c>
      <c r="R32" s="57" t="s">
        <v>19</v>
      </c>
      <c r="S32" s="57" t="s">
        <v>43</v>
      </c>
      <c r="T32" s="57" t="s">
        <v>44</v>
      </c>
      <c r="U32" s="57" t="s">
        <v>45</v>
      </c>
      <c r="V32" s="57" t="s">
        <v>46</v>
      </c>
      <c r="AA32" s="55"/>
      <c r="AB32" s="56" t="s">
        <v>41</v>
      </c>
      <c r="AC32" s="57" t="s">
        <v>42</v>
      </c>
      <c r="AD32" s="57" t="s">
        <v>18</v>
      </c>
      <c r="AE32" s="57" t="s">
        <v>19</v>
      </c>
      <c r="AF32" s="57" t="s">
        <v>43</v>
      </c>
      <c r="AG32" s="57" t="s">
        <v>44</v>
      </c>
      <c r="AH32" s="57" t="s">
        <v>45</v>
      </c>
      <c r="AI32" s="57" t="s">
        <v>46</v>
      </c>
    </row>
    <row r="33" spans="1:35" x14ac:dyDescent="0.3">
      <c r="A33" s="74">
        <v>2021</v>
      </c>
      <c r="B33" s="65">
        <v>577718</v>
      </c>
      <c r="C33" s="47">
        <v>0.64300000000000002</v>
      </c>
      <c r="D33" s="47">
        <v>0.53700000000000003</v>
      </c>
      <c r="E33" s="47">
        <v>0.106</v>
      </c>
      <c r="F33" s="47">
        <v>0.22600000000000001</v>
      </c>
      <c r="G33" s="47">
        <v>0.41699999999999998</v>
      </c>
      <c r="H33" s="47">
        <v>0.51900000000000002</v>
      </c>
      <c r="I33" s="47">
        <v>0.124</v>
      </c>
      <c r="N33" s="74">
        <v>2021</v>
      </c>
      <c r="O33" s="65">
        <v>918438</v>
      </c>
      <c r="P33" s="47">
        <v>0.69699999999999995</v>
      </c>
      <c r="Q33" s="47">
        <v>0.55100000000000005</v>
      </c>
      <c r="R33" s="47">
        <v>0.14599999999999999</v>
      </c>
      <c r="S33" s="47">
        <v>0.20599999999999999</v>
      </c>
      <c r="T33" s="47">
        <v>0.49099999999999999</v>
      </c>
      <c r="U33" s="47">
        <v>0.53100000000000003</v>
      </c>
      <c r="V33" s="47">
        <v>0.16600000000000001</v>
      </c>
      <c r="AA33" s="74">
        <v>2021</v>
      </c>
      <c r="AB33" s="65">
        <v>599871</v>
      </c>
      <c r="AC33" s="47">
        <v>0.60499999999999998</v>
      </c>
      <c r="AD33" s="47">
        <v>0.495</v>
      </c>
      <c r="AE33" s="47">
        <v>0.11</v>
      </c>
      <c r="AF33" s="47">
        <v>0.20699999999999999</v>
      </c>
      <c r="AG33" s="47">
        <v>0.39800000000000002</v>
      </c>
      <c r="AH33" s="47">
        <v>0.48499999999999999</v>
      </c>
      <c r="AI33" s="47">
        <v>0.12</v>
      </c>
    </row>
    <row r="34" spans="1:35" x14ac:dyDescent="0.3">
      <c r="A34" s="74">
        <v>2022</v>
      </c>
      <c r="B34" s="65">
        <v>578787</v>
      </c>
      <c r="C34" s="47">
        <v>0.65600000000000003</v>
      </c>
      <c r="D34" s="47">
        <v>0.55200000000000005</v>
      </c>
      <c r="E34" s="47">
        <v>0.10299999999999999</v>
      </c>
      <c r="F34" s="47">
        <v>0.23699999999999999</v>
      </c>
      <c r="G34" s="47">
        <v>0.41899999999999998</v>
      </c>
      <c r="H34" s="47">
        <v>0.53300000000000003</v>
      </c>
      <c r="I34" s="47">
        <v>0.123</v>
      </c>
      <c r="N34" s="74">
        <v>2022</v>
      </c>
      <c r="O34" s="65">
        <v>919334</v>
      </c>
      <c r="P34" s="47">
        <v>0.70199999999999996</v>
      </c>
      <c r="Q34" s="47">
        <v>0.55900000000000005</v>
      </c>
      <c r="R34" s="47">
        <v>0.14299999999999999</v>
      </c>
      <c r="S34" s="47">
        <v>0.20699999999999999</v>
      </c>
      <c r="T34" s="47">
        <v>0.495</v>
      </c>
      <c r="U34" s="47">
        <v>0.53600000000000003</v>
      </c>
      <c r="V34" s="47">
        <v>0.16600000000000001</v>
      </c>
      <c r="AA34" s="74">
        <v>2022</v>
      </c>
      <c r="AB34" s="65">
        <v>598600</v>
      </c>
      <c r="AC34" s="47">
        <v>0.60199999999999998</v>
      </c>
      <c r="AD34" s="47">
        <v>0.495</v>
      </c>
      <c r="AE34" s="47">
        <v>0.107</v>
      </c>
      <c r="AF34" s="47">
        <v>0.20399999999999999</v>
      </c>
      <c r="AG34" s="47">
        <v>0.39700000000000002</v>
      </c>
      <c r="AH34" s="47">
        <v>0.48199999999999998</v>
      </c>
      <c r="AI34" s="47">
        <v>0.11899999999999999</v>
      </c>
    </row>
    <row r="37" spans="1:35" x14ac:dyDescent="0.3">
      <c r="A37" s="61" t="str">
        <f>CONCATENATE("Table 55a. Persistence Rates from First to Second Year of College for Class of ",A39," and ",A40,", School Percentile Distribution")</f>
        <v>Table 55a. Persistence Rates from First to Second Year of College for Class of 2021 and 2022, School Percentile Distribution</v>
      </c>
      <c r="B37" s="54"/>
      <c r="N37" s="61" t="str">
        <f>CONCATENATE("Table 55b. Persistence Rates from First to Second Year of College for Class of ",N39," and ",N40,", School Percentile Distribution")</f>
        <v>Table 55b. Persistence Rates from First to Second Year of College for Class of 2021 and 2022, School Percentile Distribution</v>
      </c>
      <c r="O37" s="54"/>
      <c r="AA37" s="61" t="str">
        <f>CONCATENATE("Table 55c. Persistence Rates from First to Second Year of College for Class of ",AA39," and ",AA40,", School Percentile Distribution")</f>
        <v>Table 55c. Persistence Rates from First to Second Year of College for Class of 2021 and 2022, School Percentile Distribution</v>
      </c>
      <c r="AB37" s="54"/>
    </row>
    <row r="38" spans="1:35" ht="28.8" x14ac:dyDescent="0.3">
      <c r="A38" s="55"/>
      <c r="B38" s="56" t="s">
        <v>37</v>
      </c>
      <c r="C38" s="57" t="s">
        <v>38</v>
      </c>
      <c r="D38" s="57" t="s">
        <v>39</v>
      </c>
      <c r="E38" s="57" t="s">
        <v>40</v>
      </c>
      <c r="N38" s="55"/>
      <c r="O38" s="56" t="s">
        <v>37</v>
      </c>
      <c r="P38" s="57" t="s">
        <v>38</v>
      </c>
      <c r="Q38" s="57" t="s">
        <v>39</v>
      </c>
      <c r="R38" s="57" t="s">
        <v>40</v>
      </c>
      <c r="AA38" s="55"/>
      <c r="AB38" s="56" t="s">
        <v>37</v>
      </c>
      <c r="AC38" s="57" t="s">
        <v>38</v>
      </c>
      <c r="AD38" s="57" t="s">
        <v>39</v>
      </c>
      <c r="AE38" s="57" t="s">
        <v>40</v>
      </c>
    </row>
    <row r="39" spans="1:35" x14ac:dyDescent="0.3">
      <c r="A39" s="74">
        <v>2021</v>
      </c>
      <c r="B39" s="65">
        <v>2127</v>
      </c>
      <c r="C39" s="47">
        <v>0.70699999999999996</v>
      </c>
      <c r="D39" s="47">
        <v>0.79400000000000004</v>
      </c>
      <c r="E39" s="47">
        <v>0.86199999999999999</v>
      </c>
      <c r="N39" s="74">
        <v>2021</v>
      </c>
      <c r="O39" s="65">
        <v>2882</v>
      </c>
      <c r="P39" s="47">
        <v>0.78900000000000003</v>
      </c>
      <c r="Q39" s="47">
        <v>0.85599999999999998</v>
      </c>
      <c r="R39" s="47">
        <v>0.90900000000000003</v>
      </c>
      <c r="AA39" s="74">
        <v>2021</v>
      </c>
      <c r="AB39" s="65">
        <v>6193</v>
      </c>
      <c r="AC39" s="47">
        <v>0.71799999999999997</v>
      </c>
      <c r="AD39" s="47">
        <v>0.8</v>
      </c>
      <c r="AE39" s="47">
        <v>0.86199999999999999</v>
      </c>
    </row>
    <row r="40" spans="1:35" x14ac:dyDescent="0.3">
      <c r="A40" s="74">
        <v>2022</v>
      </c>
      <c r="B40" s="65">
        <v>2129</v>
      </c>
      <c r="C40" s="47">
        <v>0.7</v>
      </c>
      <c r="D40" s="47">
        <v>0.79500000000000004</v>
      </c>
      <c r="E40" s="47">
        <v>0.86799999999999999</v>
      </c>
      <c r="N40" s="74">
        <v>2022</v>
      </c>
      <c r="O40" s="65">
        <v>2910</v>
      </c>
      <c r="P40" s="47">
        <v>0.79</v>
      </c>
      <c r="Q40" s="47">
        <v>0.86299999999999999</v>
      </c>
      <c r="R40" s="47">
        <v>0.91300000000000003</v>
      </c>
      <c r="AA40" s="74">
        <v>2022</v>
      </c>
      <c r="AB40" s="65">
        <v>6194</v>
      </c>
      <c r="AC40" s="47">
        <v>0.71799999999999997</v>
      </c>
      <c r="AD40" s="47">
        <v>0.80300000000000005</v>
      </c>
      <c r="AE40" s="47">
        <v>0.873</v>
      </c>
    </row>
    <row r="41" spans="1:35" x14ac:dyDescent="0.3">
      <c r="B41" s="54"/>
      <c r="O41" s="54"/>
      <c r="AB41" s="54"/>
    </row>
    <row r="42" spans="1:35" x14ac:dyDescent="0.3">
      <c r="A42" s="61" t="str">
        <f>CONCATENATE("Table 56a. Persistence Rates from First to Second Year of College for Class of ",A44," and ",A45,", Student-Weighted Totals")</f>
        <v>Table 56a. Persistence Rates from First to Second Year of College for Class of 2021 and 2022, Student-Weighted Totals</v>
      </c>
      <c r="B42" s="54"/>
      <c r="N42" s="61" t="str">
        <f>CONCATENATE("Table 56b. Persistence Rates from First to Second Year of College for Class of ",N44," and ",N45,", Student-Weighted Totals")</f>
        <v>Table 56b. Persistence Rates from First to Second Year of College for Class of 2021 and 2022, Student-Weighted Totals</v>
      </c>
      <c r="O42" s="54"/>
      <c r="AA42" s="61" t="str">
        <f>CONCATENATE("Table 56c. Persistence Rates from First to Second Year of College for Class of ",AA44," and ",AA45,", Student-Weighted Totals")</f>
        <v>Table 56c. Persistence Rates from First to Second Year of College for Class of 2021 and 2022, Student-Weighted Totals</v>
      </c>
      <c r="AB42" s="54"/>
    </row>
    <row r="43" spans="1:35" ht="43.2" x14ac:dyDescent="0.3">
      <c r="A43" s="55"/>
      <c r="B43" s="56" t="s">
        <v>47</v>
      </c>
      <c r="C43" s="57" t="s">
        <v>42</v>
      </c>
      <c r="D43" s="57" t="s">
        <v>18</v>
      </c>
      <c r="E43" s="57" t="s">
        <v>19</v>
      </c>
      <c r="F43" s="57" t="s">
        <v>43</v>
      </c>
      <c r="G43" s="57" t="s">
        <v>44</v>
      </c>
      <c r="H43" s="57" t="s">
        <v>45</v>
      </c>
      <c r="I43" s="57" t="s">
        <v>46</v>
      </c>
      <c r="N43" s="55"/>
      <c r="O43" s="56" t="s">
        <v>47</v>
      </c>
      <c r="P43" s="57" t="s">
        <v>42</v>
      </c>
      <c r="Q43" s="57" t="s">
        <v>18</v>
      </c>
      <c r="R43" s="57" t="s">
        <v>19</v>
      </c>
      <c r="S43" s="57" t="s">
        <v>43</v>
      </c>
      <c r="T43" s="57" t="s">
        <v>44</v>
      </c>
      <c r="U43" s="57" t="s">
        <v>45</v>
      </c>
      <c r="V43" s="57" t="s">
        <v>46</v>
      </c>
      <c r="AA43" s="55"/>
      <c r="AB43" s="56" t="s">
        <v>47</v>
      </c>
      <c r="AC43" s="57" t="s">
        <v>42</v>
      </c>
      <c r="AD43" s="57" t="s">
        <v>18</v>
      </c>
      <c r="AE43" s="57" t="s">
        <v>19</v>
      </c>
      <c r="AF43" s="57" t="s">
        <v>43</v>
      </c>
      <c r="AG43" s="57" t="s">
        <v>44</v>
      </c>
      <c r="AH43" s="57" t="s">
        <v>45</v>
      </c>
      <c r="AI43" s="57" t="s">
        <v>46</v>
      </c>
    </row>
    <row r="44" spans="1:35" x14ac:dyDescent="0.3">
      <c r="A44" s="74">
        <v>2021</v>
      </c>
      <c r="B44" s="65">
        <v>345862</v>
      </c>
      <c r="C44" s="47">
        <v>0.83</v>
      </c>
      <c r="D44" s="47">
        <v>0.82</v>
      </c>
      <c r="E44" s="47">
        <v>0.879</v>
      </c>
      <c r="F44" s="47">
        <v>0.71499999999999997</v>
      </c>
      <c r="G44" s="47">
        <v>0.88600000000000001</v>
      </c>
      <c r="H44" s="47">
        <v>0.81499999999999995</v>
      </c>
      <c r="I44" s="47">
        <v>0.89200000000000002</v>
      </c>
      <c r="N44" s="74">
        <v>2021</v>
      </c>
      <c r="O44" s="65">
        <v>603715</v>
      </c>
      <c r="P44" s="47">
        <v>0.86799999999999999</v>
      </c>
      <c r="Q44" s="47">
        <v>0.85399999999999998</v>
      </c>
      <c r="R44" s="47">
        <v>0.91900000000000004</v>
      </c>
      <c r="S44" s="47">
        <v>0.73699999999999999</v>
      </c>
      <c r="T44" s="47">
        <v>0.91800000000000004</v>
      </c>
      <c r="U44" s="47">
        <v>0.85</v>
      </c>
      <c r="V44" s="47">
        <v>0.92300000000000004</v>
      </c>
      <c r="AA44" s="74">
        <v>2021</v>
      </c>
      <c r="AB44" s="65">
        <v>339590</v>
      </c>
      <c r="AC44" s="47">
        <v>0.81499999999999995</v>
      </c>
      <c r="AD44" s="47">
        <v>0.8</v>
      </c>
      <c r="AE44" s="47">
        <v>0.88300000000000001</v>
      </c>
      <c r="AF44" s="47">
        <v>0.68899999999999995</v>
      </c>
      <c r="AG44" s="47">
        <v>0.876</v>
      </c>
      <c r="AH44" s="47">
        <v>0.80100000000000005</v>
      </c>
      <c r="AI44" s="47">
        <v>0.875</v>
      </c>
    </row>
    <row r="45" spans="1:35" x14ac:dyDescent="0.3">
      <c r="A45" s="74">
        <v>2022</v>
      </c>
      <c r="B45" s="65">
        <v>356001</v>
      </c>
      <c r="C45" s="47">
        <v>0.82799999999999996</v>
      </c>
      <c r="D45" s="47">
        <v>0.81799999999999995</v>
      </c>
      <c r="E45" s="47">
        <v>0.88200000000000001</v>
      </c>
      <c r="F45" s="47">
        <v>0.70599999999999996</v>
      </c>
      <c r="G45" s="47">
        <v>0.89300000000000002</v>
      </c>
      <c r="H45" s="47">
        <v>0.81299999999999994</v>
      </c>
      <c r="I45" s="47">
        <v>0.89600000000000002</v>
      </c>
      <c r="N45" s="74">
        <v>2022</v>
      </c>
      <c r="O45" s="65">
        <v>611045</v>
      </c>
      <c r="P45" s="47">
        <v>0.87</v>
      </c>
      <c r="Q45" s="47">
        <v>0.85599999999999998</v>
      </c>
      <c r="R45" s="47">
        <v>0.92200000000000004</v>
      </c>
      <c r="S45" s="47">
        <v>0.73399999999999999</v>
      </c>
      <c r="T45" s="47">
        <v>0.92200000000000004</v>
      </c>
      <c r="U45" s="47">
        <v>0.85099999999999998</v>
      </c>
      <c r="V45" s="47">
        <v>0.92900000000000005</v>
      </c>
      <c r="AA45" s="74">
        <v>2022</v>
      </c>
      <c r="AB45" s="65">
        <v>338512</v>
      </c>
      <c r="AC45" s="47">
        <v>0.81899999999999995</v>
      </c>
      <c r="AD45" s="47">
        <v>0.80400000000000005</v>
      </c>
      <c r="AE45" s="47">
        <v>0.88600000000000001</v>
      </c>
      <c r="AF45" s="47">
        <v>0.68300000000000005</v>
      </c>
      <c r="AG45" s="47">
        <v>0.88300000000000001</v>
      </c>
      <c r="AH45" s="47">
        <v>0.80400000000000005</v>
      </c>
      <c r="AI45" s="47">
        <v>0.879</v>
      </c>
    </row>
    <row r="48" spans="1:35" x14ac:dyDescent="0.3">
      <c r="A48" s="61" t="str">
        <f>CONCATENATE("Table 57a. Six-Year Completion Rates for Class of ",,A50," and ",A51,", School Percentile Distribution")</f>
        <v>Table 57a. Six-Year Completion Rates for Class of 2017 and 2018, School Percentile Distribution</v>
      </c>
      <c r="B48" s="54"/>
      <c r="N48" s="61" t="str">
        <f>CONCATENATE("Table 57b. Six-Year Completion Rates for Class of ",N50," and ",N51,", School Percentile Distribution")</f>
        <v>Table 57b. Six-Year Completion Rates for Class of 2017 and 2018, School Percentile Distribution</v>
      </c>
      <c r="O48" s="54"/>
      <c r="AA48" s="61" t="str">
        <f>CONCATENATE("Table 57c. Six-Year Completion Rates for Class of ",AA50," and ",AA51,", School Percentile Distribution")</f>
        <v>Table 57c. Six-Year Completion Rates for Class of 2017 and 2018, School Percentile Distribution</v>
      </c>
      <c r="AB48" s="54"/>
    </row>
    <row r="49" spans="1:35" ht="28.8" x14ac:dyDescent="0.3">
      <c r="A49" s="55"/>
      <c r="B49" s="56" t="s">
        <v>37</v>
      </c>
      <c r="C49" s="57" t="s">
        <v>38</v>
      </c>
      <c r="D49" s="57" t="s">
        <v>39</v>
      </c>
      <c r="E49" s="57" t="s">
        <v>40</v>
      </c>
      <c r="N49" s="55"/>
      <c r="O49" s="56" t="s">
        <v>37</v>
      </c>
      <c r="P49" s="57" t="s">
        <v>38</v>
      </c>
      <c r="Q49" s="57" t="s">
        <v>39</v>
      </c>
      <c r="R49" s="57" t="s">
        <v>40</v>
      </c>
      <c r="AA49" s="55"/>
      <c r="AB49" s="56" t="s">
        <v>37</v>
      </c>
      <c r="AC49" s="57" t="s">
        <v>38</v>
      </c>
      <c r="AD49" s="57" t="s">
        <v>39</v>
      </c>
      <c r="AE49" s="57" t="s">
        <v>40</v>
      </c>
    </row>
    <row r="50" spans="1:35" x14ac:dyDescent="0.3">
      <c r="A50" s="74">
        <v>2017</v>
      </c>
      <c r="B50" s="65">
        <v>2044</v>
      </c>
      <c r="C50" s="47">
        <v>0.182</v>
      </c>
      <c r="D50" s="47">
        <v>0.309</v>
      </c>
      <c r="E50" s="47">
        <v>0.44400000000000001</v>
      </c>
      <c r="N50" s="74">
        <v>2017</v>
      </c>
      <c r="O50" s="65">
        <v>2742</v>
      </c>
      <c r="P50" s="47">
        <v>0.31</v>
      </c>
      <c r="Q50" s="47">
        <v>0.44500000000000001</v>
      </c>
      <c r="R50" s="47">
        <v>0.59099999999999997</v>
      </c>
      <c r="AA50" s="74">
        <v>2017</v>
      </c>
      <c r="AB50" s="65">
        <v>5976</v>
      </c>
      <c r="AC50" s="47">
        <v>0.26400000000000001</v>
      </c>
      <c r="AD50" s="47">
        <v>0.36399999999999999</v>
      </c>
      <c r="AE50" s="47">
        <v>0.47199999999999998</v>
      </c>
    </row>
    <row r="51" spans="1:35" x14ac:dyDescent="0.3">
      <c r="A51" s="74">
        <v>2018</v>
      </c>
      <c r="B51" s="65">
        <v>2087</v>
      </c>
      <c r="C51" s="47">
        <v>0.186</v>
      </c>
      <c r="D51" s="47">
        <v>0.31</v>
      </c>
      <c r="E51" s="47">
        <v>0.45300000000000001</v>
      </c>
      <c r="N51" s="74">
        <v>2018</v>
      </c>
      <c r="O51" s="65">
        <v>2865</v>
      </c>
      <c r="P51" s="47">
        <v>0.3</v>
      </c>
      <c r="Q51" s="47">
        <v>0.439</v>
      </c>
      <c r="R51" s="47">
        <v>0.58599999999999997</v>
      </c>
      <c r="AA51" s="74">
        <v>2018</v>
      </c>
      <c r="AB51" s="65">
        <v>6013</v>
      </c>
      <c r="AC51" s="47">
        <v>0.26300000000000001</v>
      </c>
      <c r="AD51" s="47">
        <v>0.35699999999999998</v>
      </c>
      <c r="AE51" s="47">
        <v>0.46300000000000002</v>
      </c>
    </row>
    <row r="52" spans="1:35" x14ac:dyDescent="0.3">
      <c r="A52" s="69"/>
      <c r="B52" s="70"/>
      <c r="C52" s="72"/>
      <c r="D52" s="72"/>
      <c r="E52" s="72"/>
      <c r="N52" s="69"/>
      <c r="O52" s="70"/>
      <c r="P52" s="72"/>
      <c r="Q52" s="72"/>
      <c r="R52" s="72"/>
      <c r="AA52" s="69"/>
      <c r="AB52" s="70"/>
      <c r="AC52" s="72"/>
      <c r="AD52" s="72"/>
      <c r="AE52" s="72"/>
    </row>
    <row r="53" spans="1:35" x14ac:dyDescent="0.3">
      <c r="A53" s="61" t="str">
        <f>CONCATENATE("Table 58a. Six-Year Completion Rates for Class of ",A55," and ",A56, ", Student-Weighted Totals")</f>
        <v>Table 58a. Six-Year Completion Rates for Class of 2017 and 2018, Student-Weighted Totals</v>
      </c>
      <c r="B53" s="54"/>
      <c r="N53" s="61" t="str">
        <f>CONCATENATE("Table 58b. Six-Year Completion Rates for Class of ",,N55," and ",N56, ", Student-Weighted Totals")</f>
        <v>Table 58b. Six-Year Completion Rates for Class of 2017 and 2018, Student-Weighted Totals</v>
      </c>
      <c r="O53" s="54"/>
      <c r="AA53" s="61" t="str">
        <f>CONCATENATE("Table 58c. Six-Year Completion Rates for Class of ",,AA55," and ",AA56, ", Student-Weighted Totals")</f>
        <v>Table 58c. Six-Year Completion Rates for Class of 2017 and 2018, Student-Weighted Totals</v>
      </c>
      <c r="AB53" s="54"/>
    </row>
    <row r="54" spans="1:35" ht="28.8" x14ac:dyDescent="0.3">
      <c r="A54" s="55"/>
      <c r="B54" s="56" t="s">
        <v>41</v>
      </c>
      <c r="C54" s="57" t="s">
        <v>42</v>
      </c>
      <c r="D54" s="57" t="s">
        <v>18</v>
      </c>
      <c r="E54" s="57" t="s">
        <v>19</v>
      </c>
      <c r="F54" s="57" t="s">
        <v>43</v>
      </c>
      <c r="G54" s="57" t="s">
        <v>44</v>
      </c>
      <c r="H54" s="57" t="s">
        <v>45</v>
      </c>
      <c r="I54" s="57" t="s">
        <v>46</v>
      </c>
      <c r="N54" s="55"/>
      <c r="O54" s="56" t="s">
        <v>41</v>
      </c>
      <c r="P54" s="57" t="s">
        <v>42</v>
      </c>
      <c r="Q54" s="57" t="s">
        <v>18</v>
      </c>
      <c r="R54" s="57" t="s">
        <v>19</v>
      </c>
      <c r="S54" s="57" t="s">
        <v>43</v>
      </c>
      <c r="T54" s="57" t="s">
        <v>44</v>
      </c>
      <c r="U54" s="57" t="s">
        <v>45</v>
      </c>
      <c r="V54" s="57" t="s">
        <v>46</v>
      </c>
      <c r="AA54" s="55"/>
      <c r="AB54" s="56" t="s">
        <v>41</v>
      </c>
      <c r="AC54" s="57" t="s">
        <v>42</v>
      </c>
      <c r="AD54" s="57" t="s">
        <v>18</v>
      </c>
      <c r="AE54" s="57" t="s">
        <v>19</v>
      </c>
      <c r="AF54" s="57" t="s">
        <v>43</v>
      </c>
      <c r="AG54" s="57" t="s">
        <v>44</v>
      </c>
      <c r="AH54" s="57" t="s">
        <v>45</v>
      </c>
      <c r="AI54" s="57" t="s">
        <v>46</v>
      </c>
    </row>
    <row r="55" spans="1:35" x14ac:dyDescent="0.3">
      <c r="A55" s="74">
        <v>2017</v>
      </c>
      <c r="B55" s="65">
        <v>541265</v>
      </c>
      <c r="C55" s="47">
        <v>0.372</v>
      </c>
      <c r="D55" s="47">
        <v>0.29599999999999999</v>
      </c>
      <c r="E55" s="47">
        <v>7.5999999999999998E-2</v>
      </c>
      <c r="F55" s="47">
        <v>8.2000000000000003E-2</v>
      </c>
      <c r="G55" s="47">
        <v>0.28899999999999998</v>
      </c>
      <c r="H55" s="47">
        <v>0.29399999999999998</v>
      </c>
      <c r="I55" s="47">
        <v>7.6999999999999999E-2</v>
      </c>
      <c r="N55" s="74">
        <v>2017</v>
      </c>
      <c r="O55" s="65">
        <v>863239</v>
      </c>
      <c r="P55" s="47">
        <v>0.47099999999999997</v>
      </c>
      <c r="Q55" s="47">
        <v>0.35</v>
      </c>
      <c r="R55" s="47">
        <v>0.121</v>
      </c>
      <c r="S55" s="47">
        <v>8.3000000000000004E-2</v>
      </c>
      <c r="T55" s="47">
        <v>0.38800000000000001</v>
      </c>
      <c r="U55" s="47">
        <v>0.35099999999999998</v>
      </c>
      <c r="V55" s="47">
        <v>0.12</v>
      </c>
      <c r="AA55" s="74">
        <v>2017</v>
      </c>
      <c r="AB55" s="65">
        <v>573244</v>
      </c>
      <c r="AC55" s="47">
        <v>0.39300000000000002</v>
      </c>
      <c r="AD55" s="47">
        <v>0.31</v>
      </c>
      <c r="AE55" s="47">
        <v>8.4000000000000005E-2</v>
      </c>
      <c r="AF55" s="47">
        <v>0.10100000000000001</v>
      </c>
      <c r="AG55" s="47">
        <v>0.29199999999999998</v>
      </c>
      <c r="AH55" s="47">
        <v>0.315</v>
      </c>
      <c r="AI55" s="47">
        <v>7.8E-2</v>
      </c>
    </row>
    <row r="56" spans="1:35" x14ac:dyDescent="0.3">
      <c r="A56" s="74">
        <v>2018</v>
      </c>
      <c r="B56" s="65">
        <v>567830</v>
      </c>
      <c r="C56" s="47">
        <v>0.374</v>
      </c>
      <c r="D56" s="47">
        <v>0.29799999999999999</v>
      </c>
      <c r="E56" s="47">
        <v>7.6999999999999999E-2</v>
      </c>
      <c r="F56" s="47">
        <v>8.3000000000000004E-2</v>
      </c>
      <c r="G56" s="47">
        <v>0.29099999999999998</v>
      </c>
      <c r="H56" s="47">
        <v>0.29499999999999998</v>
      </c>
      <c r="I56" s="47">
        <v>0.08</v>
      </c>
      <c r="N56" s="74">
        <v>2018</v>
      </c>
      <c r="O56" s="65">
        <v>935337</v>
      </c>
      <c r="P56" s="47">
        <v>0.46400000000000002</v>
      </c>
      <c r="Q56" s="47">
        <v>0.34599999999999997</v>
      </c>
      <c r="R56" s="47">
        <v>0.11700000000000001</v>
      </c>
      <c r="S56" s="47">
        <v>8.3000000000000004E-2</v>
      </c>
      <c r="T56" s="47">
        <v>0.38100000000000001</v>
      </c>
      <c r="U56" s="47">
        <v>0.34499999999999997</v>
      </c>
      <c r="V56" s="47">
        <v>0.11899999999999999</v>
      </c>
      <c r="AA56" s="74">
        <v>2018</v>
      </c>
      <c r="AB56" s="65">
        <v>594472</v>
      </c>
      <c r="AC56" s="47">
        <v>0.39</v>
      </c>
      <c r="AD56" s="47">
        <v>0.308</v>
      </c>
      <c r="AE56" s="47">
        <v>8.3000000000000004E-2</v>
      </c>
      <c r="AF56" s="47">
        <v>9.9000000000000005E-2</v>
      </c>
      <c r="AG56" s="47">
        <v>0.29099999999999998</v>
      </c>
      <c r="AH56" s="47">
        <v>0.311</v>
      </c>
      <c r="AI56" s="47">
        <v>7.9000000000000001E-2</v>
      </c>
    </row>
  </sheetData>
  <mergeCells count="3">
    <mergeCell ref="A2:L2"/>
    <mergeCell ref="N2:Y2"/>
    <mergeCell ref="AA2:AL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8DD9-3A43-47E0-AB95-F292B3E4D564}">
  <dimension ref="A1:P56"/>
  <sheetViews>
    <sheetView zoomScaleNormal="100" workbookViewId="0">
      <selection activeCell="M49" sqref="M49"/>
    </sheetView>
  </sheetViews>
  <sheetFormatPr defaultRowHeight="14.4" x14ac:dyDescent="0.3"/>
  <cols>
    <col min="2" max="2" width="14.5546875" customWidth="1"/>
    <col min="3" max="3" width="11.5546875" customWidth="1"/>
    <col min="4" max="4" width="10.5546875" customWidth="1"/>
    <col min="5" max="5" width="11.6640625" customWidth="1"/>
    <col min="13" max="13" width="13.6640625" customWidth="1"/>
  </cols>
  <sheetData>
    <row r="1" spans="1:16" ht="28.8" x14ac:dyDescent="0.3">
      <c r="A1" s="49" t="s">
        <v>54</v>
      </c>
      <c r="B1" s="50"/>
      <c r="C1" s="50"/>
      <c r="D1" s="50"/>
      <c r="E1" s="50"/>
      <c r="F1" s="50"/>
      <c r="G1" s="50"/>
      <c r="H1" s="50"/>
      <c r="I1" s="50"/>
      <c r="J1" s="50"/>
      <c r="K1" s="50"/>
      <c r="L1" s="50"/>
      <c r="M1" s="50"/>
      <c r="N1" s="50"/>
      <c r="O1" s="50"/>
      <c r="P1" s="50"/>
    </row>
    <row r="2" spans="1:16" ht="14.4" customHeight="1" x14ac:dyDescent="0.3">
      <c r="A2" s="49"/>
      <c r="B2" s="50"/>
      <c r="C2" s="50"/>
      <c r="D2" s="50"/>
      <c r="E2" s="50"/>
      <c r="F2" s="50"/>
      <c r="G2" s="50"/>
      <c r="H2" s="50"/>
      <c r="I2" s="50"/>
      <c r="J2" s="50"/>
      <c r="K2" s="50"/>
      <c r="L2" s="50"/>
      <c r="M2" s="50"/>
      <c r="N2" s="50"/>
      <c r="O2" s="50"/>
      <c r="P2" s="50"/>
    </row>
    <row r="3" spans="1:16" x14ac:dyDescent="0.3">
      <c r="A3" s="52"/>
      <c r="B3" s="52"/>
      <c r="C3" s="52"/>
      <c r="D3" s="52"/>
      <c r="E3" s="52"/>
      <c r="F3" s="52"/>
      <c r="G3" s="52"/>
      <c r="H3" s="52"/>
      <c r="I3" s="52"/>
      <c r="J3" s="52"/>
      <c r="K3" s="52"/>
      <c r="L3" s="52"/>
      <c r="M3" s="53"/>
      <c r="N3" s="52"/>
      <c r="O3" s="52"/>
      <c r="P3" s="52"/>
    </row>
    <row r="4" spans="1:16" x14ac:dyDescent="0.3">
      <c r="A4" s="2" t="str">
        <f>CONCATENATE("Table 59. College Enrollment Rates in the First Fall after High School Graduation for Classes ",A6," and ",A7,", School Percentile Distribution")</f>
        <v>Table 59. College Enrollment Rates in the First Fall after High School Graduation for Classes 2023 and 2024, School Percentile Distribution</v>
      </c>
      <c r="B4" s="54"/>
    </row>
    <row r="5" spans="1:16" ht="28.8" x14ac:dyDescent="0.3">
      <c r="A5" s="55"/>
      <c r="B5" s="56" t="s">
        <v>37</v>
      </c>
      <c r="C5" s="57" t="s">
        <v>38</v>
      </c>
      <c r="D5" s="57" t="s">
        <v>39</v>
      </c>
      <c r="E5" s="57" t="s">
        <v>40</v>
      </c>
    </row>
    <row r="6" spans="1:16" x14ac:dyDescent="0.3">
      <c r="A6" s="58">
        <v>2023</v>
      </c>
      <c r="B6" s="65">
        <v>1264</v>
      </c>
      <c r="C6" s="47">
        <v>0.25</v>
      </c>
      <c r="D6" s="47">
        <v>0.48799999999999999</v>
      </c>
      <c r="E6" s="47">
        <v>0.69399999999999995</v>
      </c>
      <c r="G6" s="60"/>
      <c r="I6" s="60"/>
    </row>
    <row r="7" spans="1:16" x14ac:dyDescent="0.3">
      <c r="A7" s="58">
        <v>2024</v>
      </c>
      <c r="B7" s="65">
        <v>1086</v>
      </c>
      <c r="C7" s="47">
        <v>0.25</v>
      </c>
      <c r="D7" s="47">
        <v>0.47499999999999998</v>
      </c>
      <c r="E7" s="47">
        <v>0.69199999999999995</v>
      </c>
    </row>
    <row r="8" spans="1:16" x14ac:dyDescent="0.3">
      <c r="B8" s="54"/>
    </row>
    <row r="9" spans="1:16" x14ac:dyDescent="0.3">
      <c r="A9" s="2" t="str">
        <f>CONCATENATE("Table 60. College Enrollment Rates in the First Fall after High School Graduation for Classes ",A11," and ",A12,", Student-Weighted Totals")</f>
        <v>Table 60. College Enrollment Rates in the First Fall after High School Graduation for Classes 2023 and 2024, Student-Weighted Totals</v>
      </c>
      <c r="B9" s="54"/>
    </row>
    <row r="10" spans="1:16" ht="28.8" x14ac:dyDescent="0.3">
      <c r="A10" s="55"/>
      <c r="B10" s="56" t="s">
        <v>41</v>
      </c>
      <c r="C10" s="57" t="s">
        <v>42</v>
      </c>
      <c r="D10" s="57" t="s">
        <v>18</v>
      </c>
      <c r="E10" s="57" t="s">
        <v>19</v>
      </c>
      <c r="F10" s="57" t="s">
        <v>43</v>
      </c>
      <c r="G10" s="57" t="s">
        <v>44</v>
      </c>
      <c r="H10" s="57" t="s">
        <v>45</v>
      </c>
      <c r="I10" s="57" t="s">
        <v>46</v>
      </c>
    </row>
    <row r="11" spans="1:16" x14ac:dyDescent="0.3">
      <c r="A11" s="58">
        <v>2023</v>
      </c>
      <c r="B11" s="65">
        <v>98332</v>
      </c>
      <c r="C11" s="47">
        <v>0.49399999999999999</v>
      </c>
      <c r="D11" s="47">
        <v>0.39200000000000002</v>
      </c>
      <c r="E11" s="47">
        <v>0.10199999999999999</v>
      </c>
      <c r="F11" s="47">
        <v>0.14699999999999999</v>
      </c>
      <c r="G11" s="47">
        <v>0.34799999999999998</v>
      </c>
      <c r="H11" s="47">
        <v>0.41099999999999998</v>
      </c>
      <c r="I11" s="47">
        <v>8.3000000000000004E-2</v>
      </c>
    </row>
    <row r="12" spans="1:16" x14ac:dyDescent="0.3">
      <c r="A12" s="58">
        <v>2024</v>
      </c>
      <c r="B12" s="65">
        <v>84910</v>
      </c>
      <c r="C12" s="47">
        <v>0.503</v>
      </c>
      <c r="D12" s="47">
        <v>0.40899999999999997</v>
      </c>
      <c r="E12" s="47">
        <v>9.5000000000000001E-2</v>
      </c>
      <c r="F12" s="47">
        <v>0.159</v>
      </c>
      <c r="G12" s="47">
        <v>0.34399999999999997</v>
      </c>
      <c r="H12" s="47">
        <v>0.42899999999999999</v>
      </c>
      <c r="I12" s="47">
        <v>7.4999999999999997E-2</v>
      </c>
    </row>
    <row r="15" spans="1:16" x14ac:dyDescent="0.3">
      <c r="A15" s="61" t="str">
        <f>CONCATENATE("Table 61. College Enrollment Rates in the First Year after High School Graduation for Classes ",A17," and ",A18,", School Percentile Distribution")</f>
        <v>Table 61. College Enrollment Rates in the First Year after High School Graduation for Classes 2022 and 2023, School Percentile Distribution</v>
      </c>
      <c r="B15" s="54"/>
    </row>
    <row r="16" spans="1:16" ht="28.8" x14ac:dyDescent="0.3">
      <c r="A16" s="55"/>
      <c r="B16" s="56" t="s">
        <v>37</v>
      </c>
      <c r="C16" s="56" t="s">
        <v>38</v>
      </c>
      <c r="D16" s="56" t="s">
        <v>39</v>
      </c>
      <c r="E16" s="56" t="s">
        <v>40</v>
      </c>
    </row>
    <row r="17" spans="1:9" x14ac:dyDescent="0.3">
      <c r="A17" s="58">
        <v>2022</v>
      </c>
      <c r="B17" s="65">
        <v>1281</v>
      </c>
      <c r="C17" s="47">
        <v>0.27300000000000002</v>
      </c>
      <c r="D17" s="47">
        <v>0.5</v>
      </c>
      <c r="E17" s="47">
        <v>0.70599999999999996</v>
      </c>
    </row>
    <row r="18" spans="1:9" x14ac:dyDescent="0.3">
      <c r="A18" s="58">
        <v>2023</v>
      </c>
      <c r="B18" s="65">
        <v>1264</v>
      </c>
      <c r="C18" s="47">
        <v>0.28899999999999998</v>
      </c>
      <c r="D18" s="47">
        <v>0.52900000000000003</v>
      </c>
      <c r="E18" s="47">
        <v>0.73299999999999998</v>
      </c>
    </row>
    <row r="19" spans="1:9" x14ac:dyDescent="0.3">
      <c r="B19" s="54"/>
    </row>
    <row r="20" spans="1:9" x14ac:dyDescent="0.3">
      <c r="A20" s="61" t="str">
        <f>CONCATENATE("Table 62. College Enrollment Rates in the First Year after High School Graduation for Classes ",A22," and ",A23,", Student-Weighted Totals")</f>
        <v>Table 62. College Enrollment Rates in the First Year after High School Graduation for Classes 2022 and 2023, Student-Weighted Totals</v>
      </c>
      <c r="B20" s="54"/>
    </row>
    <row r="21" spans="1:9" ht="28.8" x14ac:dyDescent="0.3">
      <c r="A21" s="55"/>
      <c r="B21" s="56" t="s">
        <v>41</v>
      </c>
      <c r="C21" s="57" t="s">
        <v>42</v>
      </c>
      <c r="D21" s="57" t="s">
        <v>18</v>
      </c>
      <c r="E21" s="57" t="s">
        <v>19</v>
      </c>
      <c r="F21" s="57" t="s">
        <v>43</v>
      </c>
      <c r="G21" s="57" t="s">
        <v>44</v>
      </c>
      <c r="H21" s="57" t="s">
        <v>45</v>
      </c>
      <c r="I21" s="57" t="s">
        <v>46</v>
      </c>
    </row>
    <row r="22" spans="1:9" x14ac:dyDescent="0.3">
      <c r="A22" s="58">
        <v>2022</v>
      </c>
      <c r="B22" s="65">
        <v>98272</v>
      </c>
      <c r="C22" s="47">
        <v>0.52100000000000002</v>
      </c>
      <c r="D22" s="47">
        <v>0.41399999999999998</v>
      </c>
      <c r="E22" s="47">
        <v>0.107</v>
      </c>
      <c r="F22" s="47">
        <v>0.16900000000000001</v>
      </c>
      <c r="G22" s="47">
        <v>0.35199999999999998</v>
      </c>
      <c r="H22" s="47">
        <v>0.42599999999999999</v>
      </c>
      <c r="I22" s="47">
        <v>9.5000000000000001E-2</v>
      </c>
    </row>
    <row r="23" spans="1:9" x14ac:dyDescent="0.3">
      <c r="A23" s="58">
        <v>2023</v>
      </c>
      <c r="B23" s="65">
        <v>98332</v>
      </c>
      <c r="C23" s="47">
        <v>0.53</v>
      </c>
      <c r="D23" s="47">
        <v>0.42199999999999999</v>
      </c>
      <c r="E23" s="47">
        <v>0.108</v>
      </c>
      <c r="F23" s="47">
        <v>0.16700000000000001</v>
      </c>
      <c r="G23" s="47">
        <v>0.36299999999999999</v>
      </c>
      <c r="H23" s="47">
        <v>0.44</v>
      </c>
      <c r="I23" s="47">
        <v>0.09</v>
      </c>
    </row>
    <row r="26" spans="1:9" x14ac:dyDescent="0.3">
      <c r="A26" s="61" t="str">
        <f>CONCATENATE("Table 63. College Enrollment Rates in the First Two Years after High School Graduation for Classes ",A28," and ",A29,", School Percentile Distribution")</f>
        <v>Table 63. College Enrollment Rates in the First Two Years after High School Graduation for Classes 2021 and 2022, School Percentile Distribution</v>
      </c>
      <c r="B26" s="54"/>
    </row>
    <row r="27" spans="1:9" ht="28.8" x14ac:dyDescent="0.3">
      <c r="A27" s="55"/>
      <c r="B27" s="56" t="s">
        <v>37</v>
      </c>
      <c r="C27" s="57" t="s">
        <v>38</v>
      </c>
      <c r="D27" s="57" t="s">
        <v>39</v>
      </c>
      <c r="E27" s="57" t="s">
        <v>40</v>
      </c>
    </row>
    <row r="28" spans="1:9" x14ac:dyDescent="0.3">
      <c r="A28" s="58">
        <v>2021</v>
      </c>
      <c r="B28" s="65">
        <v>1237</v>
      </c>
      <c r="C28" s="47">
        <v>0.32700000000000001</v>
      </c>
      <c r="D28" s="47">
        <v>0.53800000000000003</v>
      </c>
      <c r="E28" s="47">
        <v>0.73899999999999999</v>
      </c>
    </row>
    <row r="29" spans="1:9" x14ac:dyDescent="0.3">
      <c r="A29" s="58">
        <v>2022</v>
      </c>
      <c r="B29" s="65">
        <v>1281</v>
      </c>
      <c r="C29" s="47">
        <v>0.33300000000000002</v>
      </c>
      <c r="D29" s="47">
        <v>0.55000000000000004</v>
      </c>
      <c r="E29" s="47">
        <v>0.75</v>
      </c>
    </row>
    <row r="30" spans="1:9" x14ac:dyDescent="0.3">
      <c r="B30" s="54"/>
    </row>
    <row r="31" spans="1:9" x14ac:dyDescent="0.3">
      <c r="A31" s="61" t="str">
        <f>CONCATENATE("Table 64. College Enrollment Rates in the First Two Years after High School Graduation for Classes ",A33," and ",A34,", Student-Weighted Totals")</f>
        <v>Table 64. College Enrollment Rates in the First Two Years after High School Graduation for Classes 2021 and 2022, Student-Weighted Totals</v>
      </c>
      <c r="B31" s="54"/>
    </row>
    <row r="32" spans="1:9" ht="28.8" x14ac:dyDescent="0.3">
      <c r="A32" s="55"/>
      <c r="B32" s="56" t="s">
        <v>41</v>
      </c>
      <c r="C32" s="57" t="s">
        <v>42</v>
      </c>
      <c r="D32" s="57" t="s">
        <v>18</v>
      </c>
      <c r="E32" s="57" t="s">
        <v>19</v>
      </c>
      <c r="F32" s="57" t="s">
        <v>43</v>
      </c>
      <c r="G32" s="57" t="s">
        <v>44</v>
      </c>
      <c r="H32" s="57" t="s">
        <v>45</v>
      </c>
      <c r="I32" s="57" t="s">
        <v>46</v>
      </c>
    </row>
    <row r="33" spans="1:9" x14ac:dyDescent="0.3">
      <c r="A33" s="58">
        <v>2021</v>
      </c>
      <c r="B33" s="65">
        <v>92154</v>
      </c>
      <c r="C33" s="47">
        <v>0.56299999999999994</v>
      </c>
      <c r="D33" s="47">
        <v>0.44400000000000001</v>
      </c>
      <c r="E33" s="47">
        <v>0.11899999999999999</v>
      </c>
      <c r="F33" s="47">
        <v>0.192</v>
      </c>
      <c r="G33" s="47">
        <v>0.371</v>
      </c>
      <c r="H33" s="47">
        <v>0.45400000000000001</v>
      </c>
      <c r="I33" s="47">
        <v>0.109</v>
      </c>
    </row>
    <row r="34" spans="1:9" x14ac:dyDescent="0.3">
      <c r="A34" s="58">
        <v>2022</v>
      </c>
      <c r="B34" s="65">
        <v>98272</v>
      </c>
      <c r="C34" s="47">
        <v>0.56399999999999995</v>
      </c>
      <c r="D34" s="47">
        <v>0.45</v>
      </c>
      <c r="E34" s="47">
        <v>0.114</v>
      </c>
      <c r="F34" s="47">
        <v>0.19600000000000001</v>
      </c>
      <c r="G34" s="47">
        <v>0.36899999999999999</v>
      </c>
      <c r="H34" s="47">
        <v>0.46</v>
      </c>
      <c r="I34" s="47">
        <v>0.104</v>
      </c>
    </row>
    <row r="37" spans="1:9" x14ac:dyDescent="0.3">
      <c r="A37" s="61" t="str">
        <f>CONCATENATE("Table 65. Persistence Rates from First to Second Year of College for Class of ",A39," and ",A40,", School Percentile Distribution")</f>
        <v>Table 65. Persistence Rates from First to Second Year of College for Class of 2021 and 2022, School Percentile Distribution</v>
      </c>
      <c r="B37" s="54"/>
    </row>
    <row r="38" spans="1:9" ht="28.8" x14ac:dyDescent="0.3">
      <c r="A38" s="55"/>
      <c r="B38" s="56" t="s">
        <v>37</v>
      </c>
      <c r="C38" s="57" t="s">
        <v>38</v>
      </c>
      <c r="D38" s="57" t="s">
        <v>39</v>
      </c>
      <c r="E38" s="57" t="s">
        <v>40</v>
      </c>
    </row>
    <row r="39" spans="1:9" x14ac:dyDescent="0.3">
      <c r="A39" s="58">
        <v>2021</v>
      </c>
      <c r="B39" s="65">
        <v>1237</v>
      </c>
      <c r="C39" s="47">
        <v>0.63400000000000001</v>
      </c>
      <c r="D39" s="47">
        <v>0.75</v>
      </c>
      <c r="E39" s="47">
        <v>0.85099999999999998</v>
      </c>
    </row>
    <row r="40" spans="1:9" x14ac:dyDescent="0.3">
      <c r="A40" s="58">
        <v>2022</v>
      </c>
      <c r="B40" s="65">
        <v>1281</v>
      </c>
      <c r="C40" s="47">
        <v>0.625</v>
      </c>
      <c r="D40" s="47">
        <v>0.75</v>
      </c>
      <c r="E40" s="47">
        <v>0.85699999999999998</v>
      </c>
    </row>
    <row r="41" spans="1:9" x14ac:dyDescent="0.3">
      <c r="B41" s="54"/>
    </row>
    <row r="42" spans="1:9" x14ac:dyDescent="0.3">
      <c r="A42" s="61" t="str">
        <f>CONCATENATE("Table 66. Persistence Rates from First to Second Year of College for Class of ",A44," and ",A45,", Student-Weighted Totals")</f>
        <v>Table 66. Persistence Rates from First to Second Year of College for Class of 2021 and 2022, Student-Weighted Totals</v>
      </c>
      <c r="B42" s="54"/>
    </row>
    <row r="43" spans="1:9" ht="43.2" x14ac:dyDescent="0.3">
      <c r="A43" s="55"/>
      <c r="B43" s="56" t="s">
        <v>47</v>
      </c>
      <c r="C43" s="57" t="s">
        <v>42</v>
      </c>
      <c r="D43" s="57" t="s">
        <v>18</v>
      </c>
      <c r="E43" s="57" t="s">
        <v>19</v>
      </c>
      <c r="F43" s="57" t="s">
        <v>43</v>
      </c>
      <c r="G43" s="57" t="s">
        <v>44</v>
      </c>
      <c r="H43" s="57" t="s">
        <v>45</v>
      </c>
      <c r="I43" s="57" t="s">
        <v>46</v>
      </c>
    </row>
    <row r="44" spans="1:9" x14ac:dyDescent="0.3">
      <c r="A44" s="58">
        <v>2021</v>
      </c>
      <c r="B44" s="65">
        <v>47521</v>
      </c>
      <c r="C44" s="47">
        <v>0.77800000000000002</v>
      </c>
      <c r="D44" s="47">
        <v>0.76500000000000001</v>
      </c>
      <c r="E44" s="47">
        <v>0.82799999999999996</v>
      </c>
      <c r="F44" s="47">
        <v>0.67</v>
      </c>
      <c r="G44" s="47">
        <v>0.82799999999999996</v>
      </c>
      <c r="H44" s="47">
        <v>0.76400000000000001</v>
      </c>
      <c r="I44" s="47">
        <v>0.84</v>
      </c>
    </row>
    <row r="45" spans="1:9" x14ac:dyDescent="0.3">
      <c r="A45" s="58">
        <v>2022</v>
      </c>
      <c r="B45" s="65">
        <v>51238</v>
      </c>
      <c r="C45" s="47">
        <v>0.77700000000000002</v>
      </c>
      <c r="D45" s="47">
        <v>0.76200000000000001</v>
      </c>
      <c r="E45" s="47">
        <v>0.83599999999999997</v>
      </c>
      <c r="F45" s="47">
        <v>0.66100000000000003</v>
      </c>
      <c r="G45" s="47">
        <v>0.83299999999999996</v>
      </c>
      <c r="H45" s="47">
        <v>0.76100000000000001</v>
      </c>
      <c r="I45" s="47">
        <v>0.85099999999999998</v>
      </c>
    </row>
    <row r="48" spans="1:9" x14ac:dyDescent="0.3">
      <c r="A48" s="61" t="str">
        <f>CONCATENATE("Table 67. Six-Year Completion Rates for Class of ",,A50," and ",A51,", School Percentile Distribution")</f>
        <v>Table 67. Six-Year Completion Rates for Class of 2017 and 2018, School Percentile Distribution</v>
      </c>
      <c r="B48" s="54"/>
    </row>
    <row r="49" spans="1:9" ht="28.8" x14ac:dyDescent="0.3">
      <c r="A49" s="55"/>
      <c r="B49" s="56" t="s">
        <v>37</v>
      </c>
      <c r="C49" s="57" t="s">
        <v>38</v>
      </c>
      <c r="D49" s="57" t="s">
        <v>39</v>
      </c>
      <c r="E49" s="57" t="s">
        <v>40</v>
      </c>
    </row>
    <row r="50" spans="1:9" x14ac:dyDescent="0.3">
      <c r="A50" s="58">
        <v>2017</v>
      </c>
      <c r="B50" s="65">
        <v>1038</v>
      </c>
      <c r="C50" s="47">
        <v>9.4E-2</v>
      </c>
      <c r="D50" s="47">
        <v>0.23699999999999999</v>
      </c>
      <c r="E50" s="47">
        <v>0.4</v>
      </c>
    </row>
    <row r="51" spans="1:9" x14ac:dyDescent="0.3">
      <c r="A51" s="58">
        <v>2018</v>
      </c>
      <c r="B51" s="65">
        <v>1131</v>
      </c>
      <c r="C51" s="47">
        <v>0.1</v>
      </c>
      <c r="D51" s="47">
        <v>0.24399999999999999</v>
      </c>
      <c r="E51" s="47">
        <v>0.4</v>
      </c>
    </row>
    <row r="52" spans="1:9" x14ac:dyDescent="0.3">
      <c r="A52" s="69"/>
      <c r="B52" s="70"/>
      <c r="C52" s="72"/>
      <c r="D52" s="72"/>
      <c r="E52" s="72"/>
    </row>
    <row r="53" spans="1:9" x14ac:dyDescent="0.3">
      <c r="A53" s="61" t="str">
        <f>CONCATENATE("Table 68. Six-Year Completion Rates for Class of ",A55," and ",A56, ", Student-Weighted Totals")</f>
        <v>Table 68. Six-Year Completion Rates for Class of 2017 and 2018, Student-Weighted Totals</v>
      </c>
      <c r="B53" s="54"/>
    </row>
    <row r="54" spans="1:9" ht="28.8" x14ac:dyDescent="0.3">
      <c r="A54" s="55"/>
      <c r="B54" s="56" t="s">
        <v>41</v>
      </c>
      <c r="C54" s="57" t="s">
        <v>42</v>
      </c>
      <c r="D54" s="57" t="s">
        <v>18</v>
      </c>
      <c r="E54" s="57" t="s">
        <v>19</v>
      </c>
      <c r="F54" s="57" t="s">
        <v>43</v>
      </c>
      <c r="G54" s="57" t="s">
        <v>44</v>
      </c>
      <c r="H54" s="57" t="s">
        <v>45</v>
      </c>
      <c r="I54" s="57" t="s">
        <v>46</v>
      </c>
    </row>
    <row r="55" spans="1:9" x14ac:dyDescent="0.3">
      <c r="A55" s="58">
        <v>2017</v>
      </c>
      <c r="B55" s="65">
        <v>74360</v>
      </c>
      <c r="C55" s="47">
        <v>0.30199999999999999</v>
      </c>
      <c r="D55" s="47">
        <v>0.22900000000000001</v>
      </c>
      <c r="E55" s="47">
        <v>7.2999999999999995E-2</v>
      </c>
      <c r="F55" s="47">
        <v>7.5999999999999998E-2</v>
      </c>
      <c r="G55" s="47">
        <v>0.22600000000000001</v>
      </c>
      <c r="H55" s="47">
        <v>0.24199999999999999</v>
      </c>
      <c r="I55" s="47">
        <v>6.0999999999999999E-2</v>
      </c>
    </row>
    <row r="56" spans="1:9" x14ac:dyDescent="0.3">
      <c r="A56" s="58">
        <v>2018</v>
      </c>
      <c r="B56" s="65">
        <v>82916</v>
      </c>
      <c r="C56" s="47">
        <v>0.29799999999999999</v>
      </c>
      <c r="D56" s="47">
        <v>0.22600000000000001</v>
      </c>
      <c r="E56" s="47">
        <v>7.1999999999999995E-2</v>
      </c>
      <c r="F56" s="47">
        <v>7.4999999999999997E-2</v>
      </c>
      <c r="G56" s="47">
        <v>0.223</v>
      </c>
      <c r="H56" s="47">
        <v>0.23499999999999999</v>
      </c>
      <c r="I56" s="47">
        <v>6.3E-2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2AB3-CFD1-4026-8A01-67C5BD7D7ED0}">
  <dimension ref="A1:P56"/>
  <sheetViews>
    <sheetView zoomScaleNormal="100" workbookViewId="0">
      <selection activeCell="M10" sqref="M10"/>
    </sheetView>
  </sheetViews>
  <sheetFormatPr defaultRowHeight="14.4" x14ac:dyDescent="0.3"/>
  <cols>
    <col min="2" max="2" width="14.5546875" customWidth="1"/>
    <col min="3" max="3" width="11.5546875" customWidth="1"/>
    <col min="4" max="4" width="10.5546875" customWidth="1"/>
    <col min="5" max="5" width="11.6640625" customWidth="1"/>
    <col min="13" max="13" width="13.6640625" customWidth="1"/>
  </cols>
  <sheetData>
    <row r="1" spans="1:16" ht="28.8" x14ac:dyDescent="0.3">
      <c r="A1" s="49" t="s">
        <v>55</v>
      </c>
      <c r="B1" s="50"/>
      <c r="C1" s="50"/>
      <c r="D1" s="50"/>
      <c r="E1" s="50"/>
      <c r="F1" s="50"/>
      <c r="G1" s="50"/>
      <c r="H1" s="50"/>
      <c r="I1" s="50"/>
      <c r="J1" s="50"/>
      <c r="K1" s="50"/>
      <c r="L1" s="50"/>
      <c r="M1" s="50"/>
      <c r="N1" s="50"/>
      <c r="O1" s="50"/>
      <c r="P1" s="50"/>
    </row>
    <row r="2" spans="1:16" ht="14.4" customHeight="1" x14ac:dyDescent="0.3">
      <c r="A2" s="49"/>
      <c r="B2" s="50"/>
      <c r="C2" s="50"/>
      <c r="D2" s="50"/>
      <c r="E2" s="50"/>
      <c r="F2" s="50"/>
      <c r="G2" s="50"/>
      <c r="H2" s="50"/>
      <c r="I2" s="50"/>
      <c r="J2" s="50"/>
      <c r="K2" s="50"/>
      <c r="L2" s="50"/>
      <c r="M2" s="50"/>
      <c r="N2" s="50"/>
      <c r="O2" s="50"/>
      <c r="P2" s="50"/>
    </row>
    <row r="3" spans="1:16" x14ac:dyDescent="0.3">
      <c r="A3" s="123" t="s">
        <v>142</v>
      </c>
      <c r="B3" s="52"/>
      <c r="C3" s="52"/>
      <c r="D3" s="52"/>
      <c r="E3" s="52"/>
      <c r="F3" s="52"/>
      <c r="G3" s="52"/>
      <c r="H3" s="52"/>
      <c r="I3" s="52"/>
      <c r="J3" s="52"/>
      <c r="K3" s="52"/>
      <c r="L3" s="52"/>
      <c r="M3" s="53"/>
      <c r="N3" s="52"/>
      <c r="O3" s="52"/>
      <c r="P3" s="52"/>
    </row>
    <row r="4" spans="1:16" x14ac:dyDescent="0.3">
      <c r="A4" s="2" t="str">
        <f>CONCATENATE("Table 69. College Enrollment Rates in the First Fall after High School Graduation for Classes ",A6," and ",A7,", School Percentile Distribution")</f>
        <v>Table 69. College Enrollment Rates in the First Fall after High School Graduation for Classes 2023 and 2024, School Percentile Distribution</v>
      </c>
      <c r="B4" s="54"/>
    </row>
    <row r="5" spans="1:16" ht="28.8" x14ac:dyDescent="0.3">
      <c r="A5" s="55"/>
      <c r="B5" s="56" t="s">
        <v>37</v>
      </c>
      <c r="C5" s="57" t="s">
        <v>38</v>
      </c>
      <c r="D5" s="57" t="s">
        <v>39</v>
      </c>
      <c r="E5" s="57" t="s">
        <v>40</v>
      </c>
    </row>
    <row r="6" spans="1:16" x14ac:dyDescent="0.3">
      <c r="A6" s="58">
        <v>2023</v>
      </c>
      <c r="B6" s="56">
        <v>236</v>
      </c>
      <c r="C6" s="11">
        <v>0.68799999999999994</v>
      </c>
      <c r="D6" s="11">
        <v>0.83499999999999996</v>
      </c>
      <c r="E6" s="11">
        <v>0.90900000000000003</v>
      </c>
      <c r="G6" s="60"/>
      <c r="I6" s="60"/>
    </row>
    <row r="7" spans="1:16" x14ac:dyDescent="0.3">
      <c r="A7" s="58">
        <v>2024</v>
      </c>
      <c r="B7" s="120" t="s">
        <v>141</v>
      </c>
      <c r="C7" s="121" t="s">
        <v>141</v>
      </c>
      <c r="D7" s="121" t="s">
        <v>141</v>
      </c>
      <c r="E7" s="121" t="s">
        <v>141</v>
      </c>
    </row>
    <row r="8" spans="1:16" x14ac:dyDescent="0.3">
      <c r="B8" s="54"/>
    </row>
    <row r="9" spans="1:16" x14ac:dyDescent="0.3">
      <c r="A9" s="2" t="str">
        <f>CONCATENATE("Table 70. College Enrollment Rates in the First Fall after High School Graduation for Classes ",A11," and ",A12,", Student-Weighted Totals")</f>
        <v>Table 70. College Enrollment Rates in the First Fall after High School Graduation for Classes 2023 and 2024, Student-Weighted Totals</v>
      </c>
      <c r="B9" s="54"/>
    </row>
    <row r="10" spans="1:16" ht="28.8" x14ac:dyDescent="0.3">
      <c r="A10" s="55"/>
      <c r="B10" s="56" t="s">
        <v>41</v>
      </c>
      <c r="C10" s="57" t="s">
        <v>42</v>
      </c>
      <c r="D10" s="57" t="s">
        <v>18</v>
      </c>
      <c r="E10" s="57" t="s">
        <v>19</v>
      </c>
      <c r="F10" s="57" t="s">
        <v>43</v>
      </c>
      <c r="G10" s="57" t="s">
        <v>44</v>
      </c>
      <c r="H10" s="57" t="s">
        <v>45</v>
      </c>
      <c r="I10" s="57" t="s">
        <v>46</v>
      </c>
    </row>
    <row r="11" spans="1:16" x14ac:dyDescent="0.3">
      <c r="A11" s="58">
        <v>2023</v>
      </c>
      <c r="B11" s="73">
        <v>23415</v>
      </c>
      <c r="C11" s="11">
        <v>0.83799999999999997</v>
      </c>
      <c r="D11" s="11">
        <v>0.49099999999999999</v>
      </c>
      <c r="E11" s="11">
        <v>0.34799999999999998</v>
      </c>
      <c r="F11" s="11">
        <v>7.6999999999999999E-2</v>
      </c>
      <c r="G11" s="11">
        <v>0.76100000000000001</v>
      </c>
      <c r="H11" s="11">
        <v>0.48199999999999998</v>
      </c>
      <c r="I11" s="11">
        <v>0.35599999999999998</v>
      </c>
    </row>
    <row r="12" spans="1:16" x14ac:dyDescent="0.3">
      <c r="A12" s="58">
        <v>2024</v>
      </c>
      <c r="B12" s="122" t="s">
        <v>141</v>
      </c>
      <c r="C12" s="121" t="s">
        <v>141</v>
      </c>
      <c r="D12" s="121" t="s">
        <v>141</v>
      </c>
      <c r="E12" s="121" t="s">
        <v>141</v>
      </c>
      <c r="F12" s="121" t="s">
        <v>141</v>
      </c>
      <c r="G12" s="121" t="s">
        <v>141</v>
      </c>
      <c r="H12" s="121" t="s">
        <v>141</v>
      </c>
      <c r="I12" s="121" t="s">
        <v>141</v>
      </c>
    </row>
    <row r="15" spans="1:16" x14ac:dyDescent="0.3">
      <c r="A15" s="61" t="str">
        <f>CONCATENATE("Table 71. College Enrollment Rates in the First Year after High School Graduation for Classes ",A17," and ",A18,", School Percentile Distribution")</f>
        <v>Table 71. College Enrollment Rates in the First Year after High School Graduation for Classes 2022 and 2023, School Percentile Distribution</v>
      </c>
      <c r="B15" s="54"/>
    </row>
    <row r="16" spans="1:16" ht="28.8" x14ac:dyDescent="0.3">
      <c r="A16" s="55"/>
      <c r="B16" s="56" t="s">
        <v>37</v>
      </c>
      <c r="C16" s="56" t="s">
        <v>38</v>
      </c>
      <c r="D16" s="56" t="s">
        <v>39</v>
      </c>
      <c r="E16" s="56" t="s">
        <v>40</v>
      </c>
    </row>
    <row r="17" spans="1:9" x14ac:dyDescent="0.3">
      <c r="A17" s="58">
        <v>2022</v>
      </c>
      <c r="B17" s="73">
        <v>238</v>
      </c>
      <c r="C17" s="11">
        <v>0.70899999999999996</v>
      </c>
      <c r="D17" s="11">
        <v>0.84499999999999997</v>
      </c>
      <c r="E17" s="11">
        <v>0.91900000000000004</v>
      </c>
    </row>
    <row r="18" spans="1:9" x14ac:dyDescent="0.3">
      <c r="A18" s="58">
        <v>2023</v>
      </c>
      <c r="B18" s="73">
        <v>236</v>
      </c>
      <c r="C18" s="11">
        <v>0.70299999999999996</v>
      </c>
      <c r="D18" s="11">
        <v>0.84899999999999998</v>
      </c>
      <c r="E18" s="11">
        <v>0.92300000000000004</v>
      </c>
    </row>
    <row r="19" spans="1:9" x14ac:dyDescent="0.3">
      <c r="B19" s="54"/>
    </row>
    <row r="20" spans="1:9" x14ac:dyDescent="0.3">
      <c r="A20" s="61" t="str">
        <f>CONCATENATE("Table 72. College Enrollment Rates in the First Year after High School Graduation for Classes ",A22," and ",A23,", Student-Weighted Totals")</f>
        <v>Table 72. College Enrollment Rates in the First Year after High School Graduation for Classes 2022 and 2023, Student-Weighted Totals</v>
      </c>
      <c r="B20" s="54"/>
    </row>
    <row r="21" spans="1:9" ht="28.8" x14ac:dyDescent="0.3">
      <c r="A21" s="55"/>
      <c r="B21" s="56" t="s">
        <v>41</v>
      </c>
      <c r="C21" s="57" t="s">
        <v>42</v>
      </c>
      <c r="D21" s="57" t="s">
        <v>18</v>
      </c>
      <c r="E21" s="57" t="s">
        <v>19</v>
      </c>
      <c r="F21" s="57" t="s">
        <v>43</v>
      </c>
      <c r="G21" s="57" t="s">
        <v>44</v>
      </c>
      <c r="H21" s="57" t="s">
        <v>45</v>
      </c>
      <c r="I21" s="57" t="s">
        <v>46</v>
      </c>
    </row>
    <row r="22" spans="1:9" x14ac:dyDescent="0.3">
      <c r="A22" s="58">
        <v>2022</v>
      </c>
      <c r="B22" s="73">
        <v>24003</v>
      </c>
      <c r="C22" s="11">
        <v>0.85</v>
      </c>
      <c r="D22" s="11">
        <v>0.50600000000000001</v>
      </c>
      <c r="E22" s="11">
        <v>0.34399999999999997</v>
      </c>
      <c r="F22" s="11">
        <v>8.4000000000000005E-2</v>
      </c>
      <c r="G22" s="11">
        <v>0.76600000000000001</v>
      </c>
      <c r="H22" s="11">
        <v>0.49299999999999999</v>
      </c>
      <c r="I22" s="11">
        <v>0.35699999999999998</v>
      </c>
    </row>
    <row r="23" spans="1:9" x14ac:dyDescent="0.3">
      <c r="A23" s="58">
        <v>2023</v>
      </c>
      <c r="B23" s="73">
        <v>23415</v>
      </c>
      <c r="C23" s="11">
        <v>0.85399999999999998</v>
      </c>
      <c r="D23" s="11">
        <v>0.501</v>
      </c>
      <c r="E23" s="11">
        <v>0.35299999999999998</v>
      </c>
      <c r="F23" s="11">
        <v>8.1000000000000003E-2</v>
      </c>
      <c r="G23" s="11">
        <v>0.77400000000000002</v>
      </c>
      <c r="H23" s="11">
        <v>0.49199999999999999</v>
      </c>
      <c r="I23" s="11">
        <v>0.36299999999999999</v>
      </c>
    </row>
    <row r="26" spans="1:9" x14ac:dyDescent="0.3">
      <c r="A26" s="61" t="str">
        <f>CONCATENATE("Table 73. College Enrollment Rates in the First Two Years after High School Graduation for Classes ",A28," and ",A29,", School Percentile Distribution")</f>
        <v>Table 73. College Enrollment Rates in the First Two Years after High School Graduation for Classes 2021 and 2022, School Percentile Distribution</v>
      </c>
      <c r="B26" s="54"/>
    </row>
    <row r="27" spans="1:9" ht="28.8" x14ac:dyDescent="0.3">
      <c r="A27" s="55"/>
      <c r="B27" s="56" t="s">
        <v>37</v>
      </c>
      <c r="C27" s="57" t="s">
        <v>38</v>
      </c>
      <c r="D27" s="57" t="s">
        <v>39</v>
      </c>
      <c r="E27" s="57" t="s">
        <v>40</v>
      </c>
    </row>
    <row r="28" spans="1:9" x14ac:dyDescent="0.3">
      <c r="A28" s="58">
        <v>2021</v>
      </c>
      <c r="B28" s="73">
        <v>250</v>
      </c>
      <c r="C28" s="11">
        <v>0.76800000000000002</v>
      </c>
      <c r="D28" s="11">
        <v>0.88500000000000001</v>
      </c>
      <c r="E28" s="11">
        <v>0.94399999999999995</v>
      </c>
    </row>
    <row r="29" spans="1:9" x14ac:dyDescent="0.3">
      <c r="A29" s="58">
        <v>2022</v>
      </c>
      <c r="B29" s="73">
        <v>238</v>
      </c>
      <c r="C29" s="11">
        <v>0.755</v>
      </c>
      <c r="D29" s="11">
        <v>0.86799999999999999</v>
      </c>
      <c r="E29" s="11">
        <v>0.93</v>
      </c>
    </row>
    <row r="30" spans="1:9" x14ac:dyDescent="0.3">
      <c r="B30" s="54"/>
    </row>
    <row r="31" spans="1:9" x14ac:dyDescent="0.3">
      <c r="A31" s="61" t="str">
        <f>CONCATENATE("Table 74. College Enrollment Rates in the First Two Years after High School Graduation for Classes ",A33," and ",A34,", Student-Weighted Totals")</f>
        <v>Table 74. College Enrollment Rates in the First Two Years after High School Graduation for Classes 2021 and 2022, Student-Weighted Totals</v>
      </c>
      <c r="B31" s="54"/>
    </row>
    <row r="32" spans="1:9" ht="28.8" x14ac:dyDescent="0.3">
      <c r="A32" s="55"/>
      <c r="B32" s="56" t="s">
        <v>41</v>
      </c>
      <c r="C32" s="57" t="s">
        <v>42</v>
      </c>
      <c r="D32" s="57" t="s">
        <v>18</v>
      </c>
      <c r="E32" s="57" t="s">
        <v>19</v>
      </c>
      <c r="F32" s="57" t="s">
        <v>43</v>
      </c>
      <c r="G32" s="57" t="s">
        <v>44</v>
      </c>
      <c r="H32" s="57" t="s">
        <v>45</v>
      </c>
      <c r="I32" s="57" t="s">
        <v>46</v>
      </c>
    </row>
    <row r="33" spans="1:9" x14ac:dyDescent="0.3">
      <c r="A33" s="58">
        <v>2021</v>
      </c>
      <c r="B33" s="73">
        <v>25489</v>
      </c>
      <c r="C33" s="11">
        <v>0.875</v>
      </c>
      <c r="D33" s="11">
        <v>0.51400000000000001</v>
      </c>
      <c r="E33" s="11">
        <v>0.36099999999999999</v>
      </c>
      <c r="F33" s="11">
        <v>0.09</v>
      </c>
      <c r="G33" s="11">
        <v>0.78500000000000003</v>
      </c>
      <c r="H33" s="11">
        <v>0.50600000000000001</v>
      </c>
      <c r="I33" s="11">
        <v>0.36899999999999999</v>
      </c>
    </row>
    <row r="34" spans="1:9" x14ac:dyDescent="0.3">
      <c r="A34" s="58">
        <v>2022</v>
      </c>
      <c r="B34" s="73">
        <v>24003</v>
      </c>
      <c r="C34" s="11">
        <v>0.873</v>
      </c>
      <c r="D34" s="11">
        <v>0.52200000000000002</v>
      </c>
      <c r="E34" s="11">
        <v>0.35</v>
      </c>
      <c r="F34" s="11">
        <v>9.2999999999999999E-2</v>
      </c>
      <c r="G34" s="11">
        <v>0.77900000000000003</v>
      </c>
      <c r="H34" s="11">
        <v>0.50600000000000001</v>
      </c>
      <c r="I34" s="11">
        <v>0.36699999999999999</v>
      </c>
    </row>
    <row r="37" spans="1:9" x14ac:dyDescent="0.3">
      <c r="A37" s="61" t="str">
        <f>CONCATENATE("Table 75. Persistence Rates from First to Second Year of College for Class of ",A39," and ",A40,", School Percentile Distribution")</f>
        <v>Table 75. Persistence Rates from First to Second Year of College for Class of 2021 and 2022, School Percentile Distribution</v>
      </c>
      <c r="B37" s="54"/>
    </row>
    <row r="38" spans="1:9" ht="28.8" x14ac:dyDescent="0.3">
      <c r="A38" s="55"/>
      <c r="B38" s="56" t="s">
        <v>37</v>
      </c>
      <c r="C38" s="57" t="s">
        <v>38</v>
      </c>
      <c r="D38" s="57" t="s">
        <v>39</v>
      </c>
      <c r="E38" s="57" t="s">
        <v>40</v>
      </c>
    </row>
    <row r="39" spans="1:9" x14ac:dyDescent="0.3">
      <c r="A39" s="58">
        <v>2021</v>
      </c>
      <c r="B39" s="73">
        <v>250</v>
      </c>
      <c r="C39" s="11">
        <v>0.86</v>
      </c>
      <c r="D39" s="11">
        <v>0.93</v>
      </c>
      <c r="E39" s="11">
        <v>0.97299999999999998</v>
      </c>
    </row>
    <row r="40" spans="1:9" x14ac:dyDescent="0.3">
      <c r="A40" s="58">
        <v>2022</v>
      </c>
      <c r="B40" s="73">
        <v>238</v>
      </c>
      <c r="C40" s="11">
        <v>0.84699999999999998</v>
      </c>
      <c r="D40" s="11">
        <v>0.92900000000000005</v>
      </c>
      <c r="E40" s="11">
        <v>0.96899999999999997</v>
      </c>
    </row>
    <row r="41" spans="1:9" x14ac:dyDescent="0.3">
      <c r="B41" s="54"/>
    </row>
    <row r="42" spans="1:9" x14ac:dyDescent="0.3">
      <c r="A42" s="61" t="str">
        <f>CONCATENATE("Table 76. Persistence Rates from First to Second Year of College for Class of ",A44," and ",A45,", Student-Weighted Totals")</f>
        <v>Table 76. Persistence Rates from First to Second Year of College for Class of 2021 and 2022, Student-Weighted Totals</v>
      </c>
      <c r="B42" s="54"/>
    </row>
    <row r="43" spans="1:9" ht="43.2" x14ac:dyDescent="0.3">
      <c r="A43" s="55"/>
      <c r="B43" s="56" t="s">
        <v>47</v>
      </c>
      <c r="C43" s="57" t="s">
        <v>42</v>
      </c>
      <c r="D43" s="57" t="s">
        <v>18</v>
      </c>
      <c r="E43" s="57" t="s">
        <v>19</v>
      </c>
      <c r="F43" s="57" t="s">
        <v>43</v>
      </c>
      <c r="G43" s="57" t="s">
        <v>44</v>
      </c>
      <c r="H43" s="57" t="s">
        <v>45</v>
      </c>
      <c r="I43" s="57" t="s">
        <v>46</v>
      </c>
    </row>
    <row r="44" spans="1:9" x14ac:dyDescent="0.3">
      <c r="A44" s="58">
        <v>2021</v>
      </c>
      <c r="B44" s="73">
        <v>21646</v>
      </c>
      <c r="C44" s="11">
        <v>0.92100000000000004</v>
      </c>
      <c r="D44" s="11">
        <v>0.90100000000000002</v>
      </c>
      <c r="E44" s="11">
        <v>0.94899999999999995</v>
      </c>
      <c r="F44" s="11">
        <v>0.73899999999999999</v>
      </c>
      <c r="G44" s="11">
        <v>0.94</v>
      </c>
      <c r="H44" s="11">
        <v>0.89800000000000002</v>
      </c>
      <c r="I44" s="11">
        <v>0.95199999999999996</v>
      </c>
    </row>
    <row r="45" spans="1:9" x14ac:dyDescent="0.3">
      <c r="A45" s="58">
        <v>2022</v>
      </c>
      <c r="B45" s="73">
        <v>20409</v>
      </c>
      <c r="C45" s="11">
        <v>0.92400000000000004</v>
      </c>
      <c r="D45" s="11">
        <v>0.90500000000000003</v>
      </c>
      <c r="E45" s="11">
        <v>0.95199999999999996</v>
      </c>
      <c r="F45" s="11">
        <v>0.753</v>
      </c>
      <c r="G45" s="11">
        <v>0.94299999999999995</v>
      </c>
      <c r="H45" s="11">
        <v>0.90200000000000002</v>
      </c>
      <c r="I45" s="11">
        <v>0.95499999999999996</v>
      </c>
    </row>
    <row r="48" spans="1:9" x14ac:dyDescent="0.3">
      <c r="A48" s="61" t="str">
        <f>CONCATENATE("Table 77. Six-Year Completion Rates for Class of ",,A50," and ",A51,", School Percentile Distribution")</f>
        <v>Table 77. Six-Year Completion Rates for Class of 2017 and 2018, School Percentile Distribution</v>
      </c>
      <c r="B48" s="54"/>
    </row>
    <row r="49" spans="1:9" ht="28.8" x14ac:dyDescent="0.3">
      <c r="A49" s="55"/>
      <c r="B49" s="56" t="s">
        <v>37</v>
      </c>
      <c r="C49" s="57" t="s">
        <v>38</v>
      </c>
      <c r="D49" s="57" t="s">
        <v>39</v>
      </c>
      <c r="E49" s="57" t="s">
        <v>40</v>
      </c>
    </row>
    <row r="50" spans="1:9" x14ac:dyDescent="0.3">
      <c r="A50" s="58">
        <v>2017</v>
      </c>
      <c r="B50" s="73">
        <v>319</v>
      </c>
      <c r="C50" s="11">
        <v>0.52500000000000002</v>
      </c>
      <c r="D50" s="11">
        <v>0.69799999999999995</v>
      </c>
      <c r="E50" s="11">
        <v>0.80900000000000005</v>
      </c>
    </row>
    <row r="51" spans="1:9" x14ac:dyDescent="0.3">
      <c r="A51" s="58">
        <v>2018</v>
      </c>
      <c r="B51" s="73">
        <v>358</v>
      </c>
      <c r="C51" s="11">
        <v>0.48399999999999999</v>
      </c>
      <c r="D51" s="11">
        <v>0.67600000000000005</v>
      </c>
      <c r="E51" s="11">
        <v>0.8</v>
      </c>
    </row>
    <row r="52" spans="1:9" x14ac:dyDescent="0.3">
      <c r="A52" s="69"/>
      <c r="B52" s="70"/>
      <c r="C52" s="72"/>
      <c r="D52" s="72"/>
      <c r="E52" s="72"/>
    </row>
    <row r="53" spans="1:9" x14ac:dyDescent="0.3">
      <c r="A53" s="61" t="str">
        <f>CONCATENATE("Table 78. Six-Year Completion Rates for Class of ",A55," and ",A56, ", Student-Weighted Totals")</f>
        <v>Table 78. Six-Year Completion Rates for Class of 2017 and 2018, Student-Weighted Totals</v>
      </c>
      <c r="B53" s="54"/>
    </row>
    <row r="54" spans="1:9" ht="28.8" x14ac:dyDescent="0.3">
      <c r="A54" s="55"/>
      <c r="B54" s="56" t="s">
        <v>41</v>
      </c>
      <c r="C54" s="57" t="s">
        <v>42</v>
      </c>
      <c r="D54" s="57" t="s">
        <v>18</v>
      </c>
      <c r="E54" s="57" t="s">
        <v>19</v>
      </c>
      <c r="F54" s="57" t="s">
        <v>43</v>
      </c>
      <c r="G54" s="57" t="s">
        <v>44</v>
      </c>
      <c r="H54" s="57" t="s">
        <v>45</v>
      </c>
      <c r="I54" s="57" t="s">
        <v>46</v>
      </c>
    </row>
    <row r="55" spans="1:9" x14ac:dyDescent="0.3">
      <c r="A55" s="58">
        <v>2017</v>
      </c>
      <c r="B55" s="73">
        <v>37092</v>
      </c>
      <c r="C55" s="11">
        <v>0.69599999999999995</v>
      </c>
      <c r="D55" s="11">
        <v>0.38900000000000001</v>
      </c>
      <c r="E55" s="11">
        <v>0.307</v>
      </c>
      <c r="F55" s="11">
        <v>4.9000000000000002E-2</v>
      </c>
      <c r="G55" s="11">
        <v>0.64700000000000002</v>
      </c>
      <c r="H55" s="11">
        <v>0.40799999999999997</v>
      </c>
      <c r="I55" s="11">
        <v>0.28799999999999998</v>
      </c>
    </row>
    <row r="56" spans="1:9" x14ac:dyDescent="0.3">
      <c r="A56" s="58">
        <v>2018</v>
      </c>
      <c r="B56" s="73">
        <v>39705</v>
      </c>
      <c r="C56" s="11">
        <v>0.69899999999999995</v>
      </c>
      <c r="D56" s="11">
        <v>0.377</v>
      </c>
      <c r="E56" s="11">
        <v>0.32100000000000001</v>
      </c>
      <c r="F56" s="11">
        <v>4.5999999999999999E-2</v>
      </c>
      <c r="G56" s="11">
        <v>0.65200000000000002</v>
      </c>
      <c r="H56" s="11">
        <v>0.39400000000000002</v>
      </c>
      <c r="I56" s="11">
        <v>0.30499999999999999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339d5ed-4b9c-4f39-b600-367bc72b8aa2">
      <Terms xmlns="http://schemas.microsoft.com/office/infopath/2007/PartnerControls"/>
    </lcf76f155ced4ddcb4097134ff3c332f>
    <TaxCatchAll xmlns="f996994f-c7f3-4d4f-bc5f-c25091af03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DCB90E14FB264DB6503D6A84AEC64F" ma:contentTypeVersion="19" ma:contentTypeDescription="Create a new document." ma:contentTypeScope="" ma:versionID="311f91a6d3799562be8a4117e85acd24">
  <xsd:schema xmlns:xsd="http://www.w3.org/2001/XMLSchema" xmlns:xs="http://www.w3.org/2001/XMLSchema" xmlns:p="http://schemas.microsoft.com/office/2006/metadata/properties" xmlns:ns1="http://schemas.microsoft.com/sharepoint/v3" xmlns:ns2="d339d5ed-4b9c-4f39-b600-367bc72b8aa2" xmlns:ns3="f996994f-c7f3-4d4f-bc5f-c25091af035b" targetNamespace="http://schemas.microsoft.com/office/2006/metadata/properties" ma:root="true" ma:fieldsID="3fc9f872f4eb01903b2663d292ade40b" ns1:_="" ns2:_="" ns3:_="">
    <xsd:import namespace="http://schemas.microsoft.com/sharepoint/v3"/>
    <xsd:import namespace="d339d5ed-4b9c-4f39-b600-367bc72b8aa2"/>
    <xsd:import namespace="f996994f-c7f3-4d4f-bc5f-c25091af03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39d5ed-4b9c-4f39-b600-367bc72b8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54ee82-8af7-4db5-bda0-11c9b8bb07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96994f-c7f3-4d4f-bc5f-c25091af035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87b83e2-822e-47ca-9352-b3068bc4914a}" ma:internalName="TaxCatchAll" ma:showField="CatchAllData" ma:web="f996994f-c7f3-4d4f-bc5f-c25091af03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D341A8-FAFF-4AA0-B133-20AE09D1B8E7}">
  <ds:schemaRefs>
    <ds:schemaRef ds:uri="http://schemas.microsoft.com/office/2006/metadata/properties"/>
    <ds:schemaRef ds:uri="http://www.w3.org/XML/1998/namespace"/>
    <ds:schemaRef ds:uri="http://schemas.microsoft.com/office/2006/documentManagement/types"/>
    <ds:schemaRef ds:uri="http://purl.org/dc/terms/"/>
    <ds:schemaRef ds:uri="d339d5ed-4b9c-4f39-b600-367bc72b8aa2"/>
    <ds:schemaRef ds:uri="http://schemas.microsoft.com/sharepoint/v3"/>
    <ds:schemaRef ds:uri="http://purl.org/dc/elements/1.1/"/>
    <ds:schemaRef ds:uri="http://purl.org/dc/dcmitype/"/>
    <ds:schemaRef ds:uri="http://schemas.microsoft.com/office/infopath/2007/PartnerControls"/>
    <ds:schemaRef ds:uri="http://schemas.openxmlformats.org/package/2006/metadata/core-properties"/>
    <ds:schemaRef ds:uri="f996994f-c7f3-4d4f-bc5f-c25091af035b"/>
  </ds:schemaRefs>
</ds:datastoreItem>
</file>

<file path=customXml/itemProps2.xml><?xml version="1.0" encoding="utf-8"?>
<ds:datastoreItem xmlns:ds="http://schemas.openxmlformats.org/officeDocument/2006/customXml" ds:itemID="{A5AFE63A-E138-4D64-BEA7-AB68FC9AB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39d5ed-4b9c-4f39-b600-367bc72b8aa2"/>
    <ds:schemaRef ds:uri="f996994f-c7f3-4d4f-bc5f-c25091af0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1F6625-A767-48C5-8028-E36002CDD1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List of Tables</vt:lpstr>
      <vt:lpstr>1 Public Non-Charter Overall</vt:lpstr>
      <vt:lpstr>2 Public Non-Charter Majors</vt:lpstr>
      <vt:lpstr>3 Public Non-Charter Poverty</vt:lpstr>
      <vt:lpstr>4 Public Non-Charter Income</vt:lpstr>
      <vt:lpstr>5 Public Non-Charter Minority</vt:lpstr>
      <vt:lpstr>6 Public Non-Charter Urbanicity</vt:lpstr>
      <vt:lpstr>7 Public Charter Schools</vt:lpstr>
      <vt:lpstr>8 Private Schools</vt:lpstr>
      <vt:lpstr>9 Income Trend Adjustment</vt:lpstr>
      <vt:lpstr>10 Poverty Trend Adjustment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Causey</dc:creator>
  <cp:keywords/>
  <dc:description/>
  <cp:lastModifiedBy>Jeremy Cohen</cp:lastModifiedBy>
  <cp:revision/>
  <dcterms:created xsi:type="dcterms:W3CDTF">2024-08-22T15:31:38Z</dcterms:created>
  <dcterms:modified xsi:type="dcterms:W3CDTF">2025-08-18T14:15:46Z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0x010100B0DCB90E14FB264DB6503D6A84AEC64F</vt:lpwstr>
  </property>
</Properties>
</file>