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esearch Services\HS benchmarks\2019\Report\Section II\"/>
    </mc:Choice>
  </mc:AlternateContent>
  <bookViews>
    <workbookView xWindow="-108" yWindow="-108" windowWidth="23256" windowHeight="12576" tabRatio="904" firstSheet="1" activeTab="1"/>
  </bookViews>
  <sheets>
    <sheet name="All DATA" sheetId="110" state="hidden" r:id="rId1"/>
    <sheet name="group (1)" sheetId="1" r:id="rId2"/>
    <sheet name="group (2)" sheetId="259" r:id="rId3"/>
  </sheets>
  <definedNames>
    <definedName name="_xlnm._FilterDatabase" localSheetId="0" hidden="1">'All DATA'!$A$1:$P$1</definedName>
    <definedName name="_xlnm.Print_Area" localSheetId="1">'group (1)'!$A:$K</definedName>
    <definedName name="_xlnm.Print_Area" localSheetId="2">'group (2)'!$A:$K</definedName>
  </definedNames>
  <calcPr calcId="15251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9" i="259" l="1"/>
  <c r="N137" i="259"/>
  <c r="N134" i="259"/>
  <c r="N132" i="259"/>
  <c r="N108" i="259"/>
  <c r="N106" i="259"/>
  <c r="N103" i="259"/>
  <c r="N101" i="259"/>
  <c r="N77" i="259"/>
  <c r="N76" i="259"/>
  <c r="N74" i="259"/>
  <c r="N71" i="259"/>
  <c r="N70" i="259"/>
  <c r="N68" i="259"/>
  <c r="N44" i="259"/>
  <c r="N43" i="259"/>
  <c r="N41" i="259"/>
  <c r="N38" i="259"/>
  <c r="N37" i="259"/>
  <c r="N35" i="259"/>
  <c r="N11" i="259"/>
  <c r="N10" i="259"/>
  <c r="N8" i="259"/>
  <c r="N5" i="259"/>
  <c r="N4" i="259"/>
  <c r="N2" i="259"/>
  <c r="N1" i="259"/>
  <c r="F108" i="259"/>
  <c r="B108" i="259"/>
  <c r="B103" i="259"/>
  <c r="F43" i="259"/>
  <c r="B43" i="259"/>
  <c r="B38" i="259"/>
  <c r="I108" i="259"/>
  <c r="E108" i="259"/>
  <c r="A108" i="259"/>
  <c r="E103" i="259"/>
  <c r="A103" i="259"/>
  <c r="F77" i="259"/>
  <c r="B77" i="259"/>
  <c r="B70" i="259"/>
  <c r="I43" i="259"/>
  <c r="E43" i="259"/>
  <c r="A43" i="259"/>
  <c r="E38" i="259"/>
  <c r="A38" i="259"/>
  <c r="F10" i="259"/>
  <c r="B10" i="259"/>
  <c r="B5" i="259"/>
  <c r="H108" i="259"/>
  <c r="D108" i="259"/>
  <c r="D103" i="259"/>
  <c r="I77" i="259"/>
  <c r="E77" i="259"/>
  <c r="A77" i="259"/>
  <c r="E70" i="259"/>
  <c r="A70" i="259"/>
  <c r="F44" i="259"/>
  <c r="B44" i="259"/>
  <c r="H43" i="259"/>
  <c r="D43" i="259"/>
  <c r="D38" i="259"/>
  <c r="B37" i="259"/>
  <c r="I10" i="259"/>
  <c r="E10" i="259"/>
  <c r="A10" i="259"/>
  <c r="E5" i="259"/>
  <c r="A5" i="259"/>
  <c r="F139" i="259"/>
  <c r="I139" i="259"/>
  <c r="B134" i="259"/>
  <c r="G108" i="259"/>
  <c r="G77" i="259"/>
  <c r="F76" i="259"/>
  <c r="H44" i="259"/>
  <c r="F11" i="259"/>
  <c r="C108" i="259"/>
  <c r="B76" i="259"/>
  <c r="G43" i="259"/>
  <c r="D77" i="259"/>
  <c r="D70" i="259"/>
  <c r="E44" i="259"/>
  <c r="C43" i="259"/>
  <c r="C38" i="259"/>
  <c r="G10" i="259"/>
  <c r="C5" i="259"/>
  <c r="A44" i="259"/>
  <c r="D37" i="259"/>
  <c r="H10" i="259"/>
  <c r="D5" i="259"/>
  <c r="A1" i="259"/>
  <c r="B71" i="259"/>
  <c r="E37" i="259"/>
  <c r="D10" i="259"/>
  <c r="B139" i="259"/>
  <c r="C103" i="259"/>
  <c r="H77" i="259"/>
  <c r="C70" i="259"/>
  <c r="I44" i="259"/>
  <c r="A37" i="259"/>
  <c r="B11" i="259"/>
  <c r="B4" i="259"/>
  <c r="A35" i="259"/>
  <c r="A41" i="259"/>
  <c r="A47" i="259"/>
  <c r="A101" i="259"/>
  <c r="A106" i="259"/>
  <c r="A111" i="259"/>
  <c r="D4" i="259"/>
  <c r="A11" i="259"/>
  <c r="C11" i="259"/>
  <c r="D71" i="259"/>
  <c r="A76" i="259"/>
  <c r="C76" i="259"/>
  <c r="C134" i="259"/>
  <c r="C37" i="259"/>
  <c r="H139" i="259"/>
  <c r="A139" i="259"/>
  <c r="C4" i="259"/>
  <c r="H11" i="259"/>
  <c r="C71" i="259"/>
  <c r="H76" i="259"/>
  <c r="E134" i="259"/>
  <c r="C44" i="259"/>
  <c r="C10" i="259"/>
  <c r="E139" i="259"/>
  <c r="E4" i="259"/>
  <c r="I11" i="259"/>
  <c r="D11" i="259"/>
  <c r="E71" i="259"/>
  <c r="I76" i="259"/>
  <c r="D76" i="259"/>
  <c r="A134" i="259"/>
  <c r="C139" i="259"/>
  <c r="G44" i="259"/>
  <c r="D44" i="259"/>
  <c r="A71" i="259"/>
  <c r="G76" i="259"/>
  <c r="D134" i="259"/>
  <c r="D139" i="259"/>
  <c r="C77" i="259"/>
  <c r="A4" i="259"/>
  <c r="E11" i="259"/>
  <c r="G11" i="259"/>
  <c r="E76" i="259"/>
  <c r="G139" i="259"/>
  <c r="A2" i="259"/>
  <c r="A68" i="259"/>
  <c r="A132" i="259"/>
  <c r="A137" i="259"/>
  <c r="A142" i="259"/>
  <c r="A74" i="259"/>
  <c r="A80" i="259"/>
  <c r="A8" i="259"/>
  <c r="A14" i="259"/>
  <c r="N1" i="1"/>
  <c r="N2" i="1"/>
  <c r="A1" i="1"/>
  <c r="N4" i="1"/>
  <c r="N5" i="1"/>
  <c r="N8" i="1"/>
  <c r="N10" i="1"/>
  <c r="N11" i="1"/>
  <c r="A10" i="1"/>
  <c r="B5" i="1"/>
  <c r="H11" i="1"/>
  <c r="C4" i="1"/>
  <c r="A11" i="1"/>
  <c r="F11" i="1"/>
  <c r="A4" i="1"/>
  <c r="I10" i="1"/>
  <c r="G10" i="1"/>
  <c r="E11" i="1"/>
  <c r="E5" i="1"/>
  <c r="D5" i="1"/>
  <c r="H10" i="1"/>
  <c r="E10" i="1"/>
  <c r="F10" i="1"/>
  <c r="A5" i="1"/>
  <c r="G11" i="1"/>
  <c r="C11" i="1"/>
  <c r="B11" i="1"/>
  <c r="C10" i="1"/>
  <c r="B10" i="1"/>
  <c r="D4" i="1"/>
  <c r="I11" i="1"/>
  <c r="C5" i="1"/>
  <c r="D11" i="1"/>
  <c r="B4" i="1"/>
  <c r="D10" i="1"/>
  <c r="E4" i="1"/>
  <c r="A8" i="1"/>
  <c r="A14" i="1"/>
  <c r="A2" i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70" i="1"/>
  <c r="N71" i="1"/>
  <c r="E134" i="1"/>
  <c r="G76" i="1"/>
  <c r="C71" i="1"/>
  <c r="E70" i="1"/>
  <c r="D108" i="1"/>
  <c r="A108" i="1"/>
  <c r="G139" i="1"/>
  <c r="B77" i="1"/>
  <c r="D71" i="1"/>
  <c r="E43" i="1"/>
  <c r="D77" i="1"/>
  <c r="B43" i="1"/>
  <c r="B76" i="1"/>
  <c r="G43" i="1"/>
  <c r="H44" i="1"/>
  <c r="F77" i="1"/>
  <c r="D76" i="1"/>
  <c r="A37" i="1"/>
  <c r="F76" i="1"/>
  <c r="E108" i="1"/>
  <c r="A44" i="1"/>
  <c r="A77" i="1"/>
  <c r="A70" i="1"/>
  <c r="D139" i="1"/>
  <c r="D134" i="1"/>
  <c r="F139" i="1"/>
  <c r="A76" i="1"/>
  <c r="H77" i="1"/>
  <c r="G77" i="1"/>
  <c r="B70" i="1"/>
  <c r="E76" i="1"/>
  <c r="E44" i="1"/>
  <c r="C103" i="1"/>
  <c r="C134" i="1"/>
  <c r="C70" i="1"/>
  <c r="B37" i="1"/>
  <c r="D103" i="1"/>
  <c r="C44" i="1"/>
  <c r="C77" i="1"/>
  <c r="B103" i="1"/>
  <c r="G44" i="1"/>
  <c r="H43" i="1"/>
  <c r="H108" i="1"/>
  <c r="I108" i="1"/>
  <c r="H76" i="1"/>
  <c r="A103" i="1"/>
  <c r="H139" i="1"/>
  <c r="E77" i="1"/>
  <c r="D37" i="1"/>
  <c r="I76" i="1"/>
  <c r="B108" i="1"/>
  <c r="B71" i="1"/>
  <c r="I43" i="1"/>
  <c r="F43" i="1"/>
  <c r="C37" i="1"/>
  <c r="F44" i="1"/>
  <c r="E139" i="1"/>
  <c r="A71" i="1"/>
  <c r="D43" i="1"/>
  <c r="C108" i="1"/>
  <c r="G108" i="1"/>
  <c r="D44" i="1"/>
  <c r="I139" i="1"/>
  <c r="B44" i="1"/>
  <c r="C76" i="1"/>
  <c r="I44" i="1"/>
  <c r="E37" i="1"/>
  <c r="E103" i="1"/>
  <c r="C139" i="1"/>
  <c r="I77" i="1"/>
  <c r="F108" i="1"/>
  <c r="C43" i="1"/>
  <c r="D70" i="1"/>
  <c r="E71" i="1"/>
  <c r="A43" i="1"/>
  <c r="A106" i="1"/>
  <c r="A101" i="1"/>
  <c r="A74" i="1"/>
  <c r="A68" i="1"/>
  <c r="A41" i="1"/>
  <c r="N38" i="1"/>
  <c r="B38" i="1"/>
  <c r="C38" i="1"/>
  <c r="E38" i="1"/>
  <c r="D38" i="1"/>
  <c r="A38" i="1"/>
  <c r="A35" i="1"/>
  <c r="A47" i="1"/>
  <c r="A111" i="1"/>
  <c r="A80" i="1"/>
  <c r="A134" i="1"/>
  <c r="B134" i="1"/>
  <c r="B139" i="1"/>
  <c r="A139" i="1"/>
  <c r="A137" i="1"/>
  <c r="A142" i="1"/>
  <c r="A132" i="1"/>
</calcChain>
</file>

<file path=xl/sharedStrings.xml><?xml version="1.0" encoding="utf-8"?>
<sst xmlns="http://schemas.openxmlformats.org/spreadsheetml/2006/main" count="196" uniqueCount="50">
  <si>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</si>
  <si>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</si>
  <si>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</si>
  <si>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</si>
  <si>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</si>
  <si>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</si>
  <si>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</si>
  <si>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</si>
  <si>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</si>
  <si>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</si>
  <si>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</si>
  <si>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N_Schls</t>
  </si>
  <si>
    <t>Total_25</t>
  </si>
  <si>
    <t>Total_50</t>
  </si>
  <si>
    <t>Total_75</t>
  </si>
  <si>
    <t>COVERAGE_GRADE_12</t>
  </si>
  <si>
    <t>High Poverty Schools</t>
  </si>
  <si>
    <t>FIRST FALL</t>
  </si>
  <si>
    <t>FIRST YEAR</t>
  </si>
  <si>
    <t>FIRST TWO YEARS</t>
  </si>
  <si>
    <t>PERSISTENCE</t>
  </si>
  <si>
    <t>COMPLETION</t>
  </si>
  <si>
    <t>Low Poverty Schools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</si>
  <si>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</si>
  <si>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</si>
  <si>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</si>
  <si>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</si>
  <si>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</si>
  <si>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</si>
  <si>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</si>
  <si>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</si>
  <si>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</si>
  <si>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</si>
  <si>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</si>
  <si>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</si>
  <si>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</si>
  <si>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 of schools</t>
  </si>
  <si>
    <t>25th percentile</t>
  </si>
  <si>
    <t>50th percentile</t>
  </si>
  <si>
    <t>75th percentile</t>
  </si>
  <si>
    <t>N of students</t>
  </si>
  <si>
    <t>Total</t>
  </si>
  <si>
    <t>Public</t>
  </si>
  <si>
    <t>Private</t>
  </si>
  <si>
    <t>Two-year</t>
  </si>
  <si>
    <t>Four-year</t>
  </si>
  <si>
    <t>In-state</t>
  </si>
  <si>
    <t>Out-of-state</t>
  </si>
  <si>
    <t>Students enrolled in first year</t>
  </si>
  <si>
    <t>NOTE: Cells marked with asterisk are not represented when grade 12 coverage under 10%, there are fewer than 3 schools, or fewer than 30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</si>
</sst>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0" fontId="9" fillId="0" borderId="0" xfId="0" applyFont="1"/>
    <xf numFmtId="9" fontId="0" fillId="0" borderId="0" xfId="0" applyNumberFormat="1"/>
    <xf numFmtId="9" fontId="9" fillId="0" borderId="0" xfId="0" applyNumberFormat="1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3" fontId="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0.49775265378117328</c:v>
                </c:pt>
                <c:pt idx="1">
                  <c:v>0.48372162058788271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4D-42FE-AC97-FD3A8135E6D8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5.8834780206352071E-2</c:v>
                </c:pt>
                <c:pt idx="1">
                  <c:v>5.4986270558482854E-2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4D-42FE-AC97-FD3A8135E6D8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0.25482674713901671</c:v>
                </c:pt>
                <c:pt idx="4" formatCode="0%">
                  <c:v>0.24985300078209294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A4D-42FE-AC97-FD3A8135E6D8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0.30176068684850865</c:v>
                </c:pt>
                <c:pt idx="4" formatCode="0%">
                  <c:v>0.28885489036427264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A4D-42FE-AC97-FD3A8135E6D8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0.51621489517697183</c:v>
                </c:pt>
                <c:pt idx="7" formatCode="0%">
                  <c:v>0.50101900428723933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A4D-42FE-AC97-FD3A8135E6D8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4.0372538810553499E-2</c:v>
                </c:pt>
                <c:pt idx="7" formatCode="0%">
                  <c:v>3.7688886859126226E-2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A4D-42FE-AC97-FD3A8135E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306028872"/>
        <c:axId val="1306029448"/>
      </c:barChart>
      <c:catAx>
        <c:axId val="13060288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306029448"/>
        <c:crosses val="autoZero"/>
        <c:auto val="1"/>
        <c:lblAlgn val="ctr"/>
        <c:lblOffset val="100"/>
        <c:noMultiLvlLbl val="0"/>
      </c:catAx>
      <c:valAx>
        <c:axId val="13060294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60288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0.38246453904324229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F4-4590-AA28-B8CA08E071BD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0.15078221049648396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F4-4590-AA28-B8CA08E071BD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8.2541404247771011E-2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F4-4590-AA28-B8CA08E071BD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0.45070534529195527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F4-4590-AA28-B8CA08E071BD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0.37505530420882871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F4-4590-AA28-B8CA08E071BD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(2)'!$A$139,'group (2)'!$A$139,'group (2)'!$A$139)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0.15819144533089757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EF4-4590-AA28-B8CA08E07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307089096"/>
        <c:axId val="1307089672"/>
      </c:barChart>
      <c:catAx>
        <c:axId val="130708909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307089672"/>
        <c:crosses val="autoZero"/>
        <c:auto val="1"/>
        <c:lblAlgn val="ctr"/>
        <c:lblOffset val="100"/>
        <c:noMultiLvlLbl val="0"/>
      </c:catAx>
      <c:valAx>
        <c:axId val="130708967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708909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0.52945651480007661</c:v>
                </c:pt>
                <c:pt idx="1">
                  <c:v>0.54078163020263303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42-4488-B048-39902A260A5A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6.2009235418040987E-2</c:v>
                </c:pt>
                <c:pt idx="1">
                  <c:v>6.3722625410419606E-2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42-4488-B048-39902A260A5A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0.28525525078203134</c:v>
                </c:pt>
                <c:pt idx="4" formatCode="0%">
                  <c:v>0.28510482302812634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542-4488-B048-39902A260A5A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0.30621049943608625</c:v>
                </c:pt>
                <c:pt idx="4" formatCode="0%">
                  <c:v>0.31939943258492631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542-4488-B048-39902A260A5A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0.5459057732002639</c:v>
                </c:pt>
                <c:pt idx="7" formatCode="0%">
                  <c:v>0.55995048400293268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542-4488-B048-39902A260A5A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4.555997701785372E-2</c:v>
                </c:pt>
                <c:pt idx="7" formatCode="0%">
                  <c:v>4.4553771610119967E-2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542-4488-B048-39902A260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306085064"/>
        <c:axId val="1306085640"/>
      </c:barChart>
      <c:catAx>
        <c:axId val="1306085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306085640"/>
        <c:crosses val="autoZero"/>
        <c:auto val="1"/>
        <c:lblAlgn val="ctr"/>
        <c:lblOffset val="100"/>
        <c:noMultiLvlLbl val="0"/>
      </c:catAx>
      <c:valAx>
        <c:axId val="13060856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60850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B25-481E-BCAE-D2FFAF393357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B25-481E-BCAE-D2FFAF39335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B25-481E-BCAE-D2FFAF39335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B25-481E-BCAE-D2FFAF393357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B25-481E-BCAE-D2FFAF39335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0.76665557344462532</c:v>
                </c:pt>
                <c:pt idx="2" formatCode="0%">
                  <c:v>0.76107030535655074</c:v>
                </c:pt>
                <c:pt idx="3" formatCode="0%">
                  <c:v>0.81434454358270414</c:v>
                </c:pt>
                <c:pt idx="5" formatCode="0%">
                  <c:v>0.68509884371503171</c:v>
                </c:pt>
                <c:pt idx="6" formatCode="0%">
                  <c:v>0.84263103945516771</c:v>
                </c:pt>
                <c:pt idx="8" formatCode="0%">
                  <c:v>0.76554110022901134</c:v>
                </c:pt>
                <c:pt idx="9" formatCode="0%">
                  <c:v>0.78000934142923872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B25-481E-BCAE-D2FFAF39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6087944"/>
        <c:axId val="1306088520"/>
      </c:barChart>
      <c:catAx>
        <c:axId val="1306087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6088520"/>
        <c:crosses val="autoZero"/>
        <c:auto val="1"/>
        <c:lblAlgn val="ctr"/>
        <c:lblOffset val="100"/>
        <c:noMultiLvlLbl val="0"/>
      </c:catAx>
      <c:valAx>
        <c:axId val="13060885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608794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0.57904932200864256</c:v>
                </c:pt>
                <c:pt idx="1">
                  <c:v>0.5696912306088141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43-49B5-9902-DE2E50EA6DA0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6.7721651020712259E-2</c:v>
                </c:pt>
                <c:pt idx="1">
                  <c:v>6.6525865554444286E-2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43-49B5-9902-DE2E50EA6DA0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0.33246312025033525</c:v>
                </c:pt>
                <c:pt idx="4" formatCode="0%">
                  <c:v>0.31671738344008682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43-49B5-9902-DE2E50EA6DA0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0.31430785277901951</c:v>
                </c:pt>
                <c:pt idx="4" formatCode="0%">
                  <c:v>0.31949971272317151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43-49B5-9902-DE2E50EA6DA0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0.59151244225897781</c:v>
                </c:pt>
                <c:pt idx="7" formatCode="0%">
                  <c:v>0.58507650075543161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43-49B5-9902-DE2E50EA6DA0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5.5258530770376992E-2</c:v>
                </c:pt>
                <c:pt idx="7" formatCode="0%">
                  <c:v>5.11405954078267E-2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343-49B5-9902-DE2E50EA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306365320"/>
        <c:axId val="1306365896"/>
      </c:barChart>
      <c:catAx>
        <c:axId val="13063653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306365896"/>
        <c:crosses val="autoZero"/>
        <c:auto val="1"/>
        <c:lblAlgn val="ctr"/>
        <c:lblOffset val="100"/>
        <c:noMultiLvlLbl val="0"/>
      </c:catAx>
      <c:valAx>
        <c:axId val="13063658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63653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0.16332836486677618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C9-4C45-8D33-2083A59EF3B8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4.7631999825922339E-2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C9-4C45-8D33-2083A59EF3B8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7.0403533776506044E-2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C9-4C45-8D33-2083A59EF3B8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0.14055683091619248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9-4C45-8D33-2083A59EF3B8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0.18135628257156225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C9-4C45-8D33-2083A59EF3B8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2012</c:v>
                </c:pt>
                <c:pt idx="1">
                  <c:v>2012</c:v>
                </c:pt>
                <c:pt idx="2">
                  <c:v>2012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2.9604082121136292E-2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AC9-4C45-8D33-2083A59E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306495240"/>
        <c:axId val="1306495816"/>
      </c:barChart>
      <c:catAx>
        <c:axId val="130649524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306495816"/>
        <c:crosses val="autoZero"/>
        <c:auto val="1"/>
        <c:lblAlgn val="ctr"/>
        <c:lblOffset val="100"/>
        <c:noMultiLvlLbl val="0"/>
      </c:catAx>
      <c:valAx>
        <c:axId val="13064958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649524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0.58401737632720696</c:v>
                </c:pt>
                <c:pt idx="1">
                  <c:v>0.58868893802145039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32-44E2-875A-8D75D5F2B34D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0.18038295506573354</c:v>
                </c:pt>
                <c:pt idx="1">
                  <c:v>0.17549653428861958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32-44E2-875A-8D75D5F2B34D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0.1753711818954804</c:v>
                </c:pt>
                <c:pt idx="4" formatCode="0%">
                  <c:v>0.17688966008352536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332-44E2-875A-8D75D5F2B34D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0.5890291494974601</c:v>
                </c:pt>
                <c:pt idx="4" formatCode="0%">
                  <c:v>0.58729581222654459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332-44E2-875A-8D75D5F2B34D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0.53864979178930383</c:v>
                </c:pt>
                <c:pt idx="7" formatCode="0%">
                  <c:v>0.53682609871913278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332-44E2-875A-8D75D5F2B34D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2017</c:v>
                </c:pt>
                <c:pt idx="1">
                  <c:v>2018</c:v>
                </c:pt>
                <c:pt idx="3">
                  <c:v>2017</c:v>
                </c:pt>
                <c:pt idx="4">
                  <c:v>2018</c:v>
                </c:pt>
                <c:pt idx="6">
                  <c:v>2017</c:v>
                </c:pt>
                <c:pt idx="7">
                  <c:v>2018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0.22575053960363661</c:v>
                </c:pt>
                <c:pt idx="7" formatCode="0%">
                  <c:v>0.22735937359093722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332-44E2-875A-8D75D5F2B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306722888"/>
        <c:axId val="1306723464"/>
      </c:barChart>
      <c:catAx>
        <c:axId val="13067228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306723464"/>
        <c:crosses val="autoZero"/>
        <c:auto val="1"/>
        <c:lblAlgn val="ctr"/>
        <c:lblOffset val="100"/>
        <c:noMultiLvlLbl val="0"/>
      </c:catAx>
      <c:valAx>
        <c:axId val="13067234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672288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0.61494392374569018</c:v>
                </c:pt>
                <c:pt idx="1">
                  <c:v>0.60781716702640243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94-49F5-88FD-7619542E01EF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0.18900712274135498</c:v>
                </c:pt>
                <c:pt idx="1">
                  <c:v>0.18582259576601914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94-49F5-88FD-7619542E01EF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0.19828312962136457</c:v>
                </c:pt>
                <c:pt idx="4" formatCode="0%">
                  <c:v>0.18803824100115551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294-49F5-88FD-7619542E01EF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0.60566791686568056</c:v>
                </c:pt>
                <c:pt idx="4" formatCode="0%">
                  <c:v>0.60560152179126603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294-49F5-88FD-7619542E01EF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0.56772607330498848</c:v>
                </c:pt>
                <c:pt idx="7" formatCode="0%">
                  <c:v>0.56148211132186543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294-49F5-88FD-7619542E01EF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0.23622497318205665</c:v>
                </c:pt>
                <c:pt idx="7" formatCode="0%">
                  <c:v>0.23215765147055617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294-49F5-88FD-7619542E0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306729224"/>
        <c:axId val="1306729800"/>
      </c:barChart>
      <c:catAx>
        <c:axId val="13067292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306729800"/>
        <c:crosses val="autoZero"/>
        <c:auto val="1"/>
        <c:lblAlgn val="ctr"/>
        <c:lblOffset val="100"/>
        <c:noMultiLvlLbl val="0"/>
      </c:catAx>
      <c:valAx>
        <c:axId val="13067298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672922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2E6-4D77-9C62-280AD2B95213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2E6-4D77-9C62-280AD2B9521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2E6-4D77-9C62-280AD2B9521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2E6-4D77-9C62-280AD2B95213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2E6-4D77-9C62-280AD2B952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0.91516922327733141</c:v>
                </c:pt>
                <c:pt idx="2" formatCode="0%">
                  <c:v>0.90290693479451123</c:v>
                </c:pt>
                <c:pt idx="3" formatCode="0%">
                  <c:v>0.95506517896597432</c:v>
                </c:pt>
                <c:pt idx="5" formatCode="0%">
                  <c:v>0.79501118862708964</c:v>
                </c:pt>
                <c:pt idx="6" formatCode="0%">
                  <c:v>0.95450647475813921</c:v>
                </c:pt>
                <c:pt idx="8" formatCode="0%">
                  <c:v>0.89949797258157949</c:v>
                </c:pt>
                <c:pt idx="9" formatCode="0%">
                  <c:v>0.95283237760615203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2E6-4D77-9C62-280AD2B95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6863304"/>
        <c:axId val="1306863880"/>
      </c:barChart>
      <c:catAx>
        <c:axId val="130686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6863880"/>
        <c:crosses val="autoZero"/>
        <c:auto val="1"/>
        <c:lblAlgn val="ctr"/>
        <c:lblOffset val="100"/>
        <c:noMultiLvlLbl val="0"/>
      </c:catAx>
      <c:valAx>
        <c:axId val="13068638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686330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0.64155124082776815</c:v>
                </c:pt>
                <c:pt idx="1">
                  <c:v>0.64228126084789072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3E-4FDF-8E35-5C93AAA88DEC}"/>
            </c:ext>
          </c:extLst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0.19713084343309423</c:v>
                </c:pt>
                <c:pt idx="1">
                  <c:v>0.19442291178919399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3E-4FDF-8E35-5C93AAA88DEC}"/>
            </c:ext>
          </c:extLst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0.21471524857778876</c:v>
                </c:pt>
                <c:pt idx="4" formatCode="0%">
                  <c:v>0.21708570518793441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B3E-4FDF-8E35-5C93AAA88DEC}"/>
            </c:ext>
          </c:extLst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0.62396683568307365</c:v>
                </c:pt>
                <c:pt idx="4" formatCode="0%">
                  <c:v>0.61961846744915028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3E-4FDF-8E35-5C93AAA88DEC}"/>
            </c:ext>
          </c:extLst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0.59453067029433593</c:v>
                </c:pt>
                <c:pt idx="7" formatCode="0%">
                  <c:v>0.59242468138195281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B3E-4FDF-8E35-5C93AAA88DEC}"/>
            </c:ext>
          </c:extLst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0.24415141396652651</c:v>
                </c:pt>
                <c:pt idx="7" formatCode="0%">
                  <c:v>0.24427949125513196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B3E-4FDF-8E35-5C93AAA88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1307082760"/>
        <c:axId val="1307083336"/>
      </c:barChart>
      <c:catAx>
        <c:axId val="130708276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307083336"/>
        <c:crosses val="autoZero"/>
        <c:auto val="1"/>
        <c:lblAlgn val="ctr"/>
        <c:lblOffset val="100"/>
        <c:noMultiLvlLbl val="0"/>
      </c:catAx>
      <c:valAx>
        <c:axId val="13070833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3070827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438150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8</xdr:col>
      <xdr:colOff>438150</xdr:colOff>
      <xdr:row>65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workbookViewId="0">
      <pane ySplit="1" topLeftCell="A2" activePane="bottomLeft" state="frozen"/>
      <selection pane="bottomLeft" activeCell="A2" sqref="A2:P17"/>
    </sheetView>
  </sheetViews>
  <sheetFormatPr defaultColWidth="9.140625" defaultRowHeight="14.45"/>
  <cols>
    <col min="1" max="1" width="19.7109375" style="27" bestFit="1" customWidth="1"/>
    <col min="2" max="2" width="16.42578125" style="27" bestFit="1" customWidth="1"/>
    <col min="3" max="3" width="17.42578125" style="27" bestFit="1" customWidth="1"/>
    <col min="4" max="4" width="16.140625" style="34" bestFit="1" customWidth="1"/>
    <col min="5" max="10" width="12" style="29" bestFit="1" customWidth="1"/>
    <col min="11" max="11" width="13.42578125" style="29" bestFit="1" customWidth="1"/>
    <col min="12" max="12" width="10.140625" style="27" bestFit="1" customWidth="1"/>
    <col min="13" max="15" width="10.7109375" style="27" bestFit="1" customWidth="1"/>
    <col min="16" max="16" width="23.42578125" style="29" bestFit="1" customWidth="1"/>
    <col min="17" max="16384" width="9.140625" style="27"/>
  </cols>
  <sheetData>
    <row r="1" spans="1:16" s="28" customFormat="1">
      <c r="A1" s="28" t="s">
        <v>0</v>
      </c>
      <c r="B1" s="28" t="s">
        <v>1</v>
      </c>
      <c r="C1" s="28" t="s">
        <v>2</v>
      </c>
      <c r="D1" s="36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30" t="s">
        <v>15</v>
      </c>
    </row>
    <row r="2" spans="1:16">
      <c r="A2" s="32" t="s">
        <v>16</v>
      </c>
      <c r="B2" s="32" t="s">
        <v>17</v>
      </c>
      <c r="C2" s="33">
        <v>2017</v>
      </c>
      <c r="D2" s="34">
        <v>188222</v>
      </c>
      <c r="E2" s="29">
        <v>0.55658743398752542</v>
      </c>
      <c r="F2" s="29">
        <v>0.49775265378117328</v>
      </c>
      <c r="G2" s="29">
        <v>5.8834780206352071E-2</v>
      </c>
      <c r="H2" s="29">
        <v>0.25482674713901671</v>
      </c>
      <c r="I2" s="29">
        <v>0.30176068684850865</v>
      </c>
      <c r="J2" s="29">
        <v>0.51621489517697183</v>
      </c>
      <c r="K2" s="29">
        <v>4.0372538810553499E-2</v>
      </c>
      <c r="L2" s="34">
        <v>890</v>
      </c>
      <c r="M2" s="35">
        <v>0.40350877192982454</v>
      </c>
      <c r="N2" s="35">
        <v>0.53586573437117169</v>
      </c>
      <c r="O2" s="35">
        <v>0.66265060240963858</v>
      </c>
      <c r="P2" s="29">
        <v>0.49627494776280712</v>
      </c>
    </row>
    <row r="3" spans="1:16">
      <c r="A3" s="32" t="s">
        <v>16</v>
      </c>
      <c r="B3" s="32" t="s">
        <v>17</v>
      </c>
      <c r="C3" s="33">
        <v>2018</v>
      </c>
      <c r="D3" s="34">
        <v>175171</v>
      </c>
      <c r="E3" s="29">
        <v>0.53870789114636553</v>
      </c>
      <c r="F3" s="29">
        <v>0.48372162058788271</v>
      </c>
      <c r="G3" s="29">
        <v>5.4986270558482854E-2</v>
      </c>
      <c r="H3" s="29">
        <v>0.24985300078209294</v>
      </c>
      <c r="I3" s="29">
        <v>0.28885489036427264</v>
      </c>
      <c r="J3" s="29">
        <v>0.50101900428723933</v>
      </c>
      <c r="K3" s="29">
        <v>3.7688886859126226E-2</v>
      </c>
      <c r="L3" s="34">
        <v>790</v>
      </c>
      <c r="M3" s="35">
        <v>0.38095238095238093</v>
      </c>
      <c r="N3" s="35">
        <v>0.5266488218798937</v>
      </c>
      <c r="O3" s="35">
        <v>0.64978902953586493</v>
      </c>
      <c r="P3" s="29">
        <v>0.45344044960011526</v>
      </c>
    </row>
    <row r="4" spans="1:16">
      <c r="A4" s="32" t="s">
        <v>16</v>
      </c>
      <c r="B4" s="32" t="s">
        <v>18</v>
      </c>
      <c r="C4" s="33">
        <v>2016</v>
      </c>
      <c r="D4" s="34">
        <v>187972</v>
      </c>
      <c r="E4" s="29">
        <v>0.59146575021811765</v>
      </c>
      <c r="F4" s="29">
        <v>0.52945651480007661</v>
      </c>
      <c r="G4" s="29">
        <v>6.2009235418040987E-2</v>
      </c>
      <c r="H4" s="29">
        <v>0.28525525078203134</v>
      </c>
      <c r="I4" s="29">
        <v>0.30621049943608625</v>
      </c>
      <c r="J4" s="29">
        <v>0.5459057732002639</v>
      </c>
      <c r="K4" s="29">
        <v>4.555997701785372E-2</v>
      </c>
      <c r="L4" s="34">
        <v>936</v>
      </c>
      <c r="M4" s="35">
        <v>0.42857142857142855</v>
      </c>
      <c r="N4" s="35">
        <v>0.55555555555555558</v>
      </c>
      <c r="O4" s="35">
        <v>0.68096285434995107</v>
      </c>
      <c r="P4" s="29">
        <v>0.50336243325382313</v>
      </c>
    </row>
    <row r="5" spans="1:16">
      <c r="A5" s="32" t="s">
        <v>16</v>
      </c>
      <c r="B5" s="32" t="s">
        <v>18</v>
      </c>
      <c r="C5" s="33">
        <v>2017</v>
      </c>
      <c r="D5" s="34">
        <v>188222</v>
      </c>
      <c r="E5" s="29">
        <v>0.60450425561305265</v>
      </c>
      <c r="F5" s="29">
        <v>0.54078163020263303</v>
      </c>
      <c r="G5" s="29">
        <v>6.3722625410419606E-2</v>
      </c>
      <c r="H5" s="29">
        <v>0.28510482302812634</v>
      </c>
      <c r="I5" s="29">
        <v>0.31939943258492631</v>
      </c>
      <c r="J5" s="29">
        <v>0.55995048400293268</v>
      </c>
      <c r="K5" s="29">
        <v>4.4553771610119967E-2</v>
      </c>
      <c r="L5" s="34">
        <v>890</v>
      </c>
      <c r="M5" s="35">
        <v>0.44495412844036697</v>
      </c>
      <c r="N5" s="35">
        <v>0.58662942271880825</v>
      </c>
      <c r="O5" s="35">
        <v>0.70646766169154229</v>
      </c>
      <c r="P5" s="29">
        <v>0.49627494776280712</v>
      </c>
    </row>
    <row r="6" spans="1:16">
      <c r="A6" s="32" t="s">
        <v>16</v>
      </c>
      <c r="B6" s="32" t="s">
        <v>19</v>
      </c>
      <c r="C6" s="33">
        <v>2015</v>
      </c>
      <c r="D6" s="34">
        <v>167775</v>
      </c>
      <c r="E6" s="29">
        <v>0.64677097302935482</v>
      </c>
      <c r="F6" s="29">
        <v>0.57904932200864256</v>
      </c>
      <c r="G6" s="29">
        <v>6.7721651020712259E-2</v>
      </c>
      <c r="H6" s="29">
        <v>0.33246312025033525</v>
      </c>
      <c r="I6" s="29">
        <v>0.31430785277901951</v>
      </c>
      <c r="J6" s="29">
        <v>0.59151244225897781</v>
      </c>
      <c r="K6" s="29">
        <v>5.5258530770376992E-2</v>
      </c>
      <c r="L6" s="34">
        <v>862</v>
      </c>
      <c r="M6" s="35">
        <v>0.46846846846846846</v>
      </c>
      <c r="N6" s="35">
        <v>0.60865175520347936</v>
      </c>
      <c r="O6" s="35">
        <v>0.72894736842105268</v>
      </c>
      <c r="P6" s="29">
        <v>0.46947682794527001</v>
      </c>
    </row>
    <row r="7" spans="1:16">
      <c r="A7" s="32" t="s">
        <v>16</v>
      </c>
      <c r="B7" s="32" t="s">
        <v>19</v>
      </c>
      <c r="C7" s="33">
        <v>2016</v>
      </c>
      <c r="D7" s="34">
        <v>187972</v>
      </c>
      <c r="E7" s="29">
        <v>0.63621709616325839</v>
      </c>
      <c r="F7" s="29">
        <v>0.5696912306088141</v>
      </c>
      <c r="G7" s="29">
        <v>6.6525865554444286E-2</v>
      </c>
      <c r="H7" s="29">
        <v>0.31671738344008682</v>
      </c>
      <c r="I7" s="29">
        <v>0.31949971272317151</v>
      </c>
      <c r="J7" s="29">
        <v>0.58507650075543161</v>
      </c>
      <c r="K7" s="29">
        <v>5.11405954078267E-2</v>
      </c>
      <c r="L7" s="34">
        <v>936</v>
      </c>
      <c r="M7" s="35">
        <v>0.47440153765507598</v>
      </c>
      <c r="N7" s="35">
        <v>0.6074929971988795</v>
      </c>
      <c r="O7" s="35">
        <v>0.72483073594807901</v>
      </c>
      <c r="P7" s="29">
        <v>0.50336243325382313</v>
      </c>
    </row>
    <row r="8" spans="1:16">
      <c r="A8" s="32" t="s">
        <v>16</v>
      </c>
      <c r="B8" s="32" t="s">
        <v>20</v>
      </c>
      <c r="C8" s="33">
        <v>2016</v>
      </c>
      <c r="D8" s="34">
        <v>111179</v>
      </c>
      <c r="E8" s="29">
        <v>0.76665557344462532</v>
      </c>
      <c r="F8" s="29">
        <v>0.76107030535655074</v>
      </c>
      <c r="G8" s="29">
        <v>0.81434454358270414</v>
      </c>
      <c r="H8" s="29">
        <v>0.68509884371503171</v>
      </c>
      <c r="I8" s="29">
        <v>0.84263103945516771</v>
      </c>
      <c r="J8" s="29">
        <v>0.76554110022901134</v>
      </c>
      <c r="K8" s="29">
        <v>0.78000934142923872</v>
      </c>
      <c r="L8" s="34">
        <v>936</v>
      </c>
      <c r="M8" s="35">
        <v>0.64423076923076927</v>
      </c>
      <c r="N8" s="35">
        <v>0.74786074745849485</v>
      </c>
      <c r="O8" s="35">
        <v>0.80584221748400853</v>
      </c>
      <c r="P8" s="29">
        <v>0.50336243325382313</v>
      </c>
    </row>
    <row r="9" spans="1:16">
      <c r="A9" s="32" t="s">
        <v>16</v>
      </c>
      <c r="B9" s="32" t="s">
        <v>21</v>
      </c>
      <c r="C9" s="33">
        <v>2012</v>
      </c>
      <c r="D9" s="34">
        <v>91913</v>
      </c>
      <c r="E9" s="29">
        <v>0.21096036469269852</v>
      </c>
      <c r="F9" s="29">
        <v>0.16332836486677618</v>
      </c>
      <c r="G9" s="29">
        <v>4.7631999825922339E-2</v>
      </c>
      <c r="H9" s="29">
        <v>7.0403533776506044E-2</v>
      </c>
      <c r="I9" s="29">
        <v>0.14055683091619248</v>
      </c>
      <c r="J9" s="29">
        <v>0.18135628257156225</v>
      </c>
      <c r="K9" s="29">
        <v>2.9604082121136292E-2</v>
      </c>
      <c r="L9" s="34">
        <v>595</v>
      </c>
      <c r="M9" s="35">
        <v>8.7179487179487175E-2</v>
      </c>
      <c r="N9" s="35">
        <v>0.16814159292035399</v>
      </c>
      <c r="O9" s="35">
        <v>0.25</v>
      </c>
      <c r="P9" s="29">
        <v>0.42889327303277797</v>
      </c>
    </row>
    <row r="10" spans="1:16">
      <c r="A10" s="32" t="s">
        <v>22</v>
      </c>
      <c r="B10" s="32" t="s">
        <v>17</v>
      </c>
      <c r="C10" s="33">
        <v>2017</v>
      </c>
      <c r="D10" s="34">
        <v>366936</v>
      </c>
      <c r="E10" s="29">
        <v>0.7644003313929405</v>
      </c>
      <c r="F10" s="29">
        <v>0.58401737632720696</v>
      </c>
      <c r="G10" s="29">
        <v>0.18038295506573354</v>
      </c>
      <c r="H10" s="29">
        <v>0.1753711818954804</v>
      </c>
      <c r="I10" s="29">
        <v>0.5890291494974601</v>
      </c>
      <c r="J10" s="29">
        <v>0.53864979178930383</v>
      </c>
      <c r="K10" s="29">
        <v>0.22575053960363661</v>
      </c>
      <c r="L10" s="34">
        <v>1191</v>
      </c>
      <c r="M10" s="35">
        <v>0.68047337278106512</v>
      </c>
      <c r="N10" s="35">
        <v>0.76752767527675281</v>
      </c>
      <c r="O10" s="35">
        <v>0.82978723404255317</v>
      </c>
      <c r="P10" s="29">
        <v>0.50952379060506492</v>
      </c>
    </row>
    <row r="11" spans="1:16">
      <c r="A11" s="32" t="s">
        <v>22</v>
      </c>
      <c r="B11" s="32" t="s">
        <v>17</v>
      </c>
      <c r="C11" s="33">
        <v>2018</v>
      </c>
      <c r="D11" s="34">
        <v>321579</v>
      </c>
      <c r="E11" s="29">
        <v>0.76418547231006995</v>
      </c>
      <c r="F11" s="29">
        <v>0.58868893802145039</v>
      </c>
      <c r="G11" s="29">
        <v>0.17549653428861958</v>
      </c>
      <c r="H11" s="29">
        <v>0.17688966008352536</v>
      </c>
      <c r="I11" s="29">
        <v>0.58729581222654459</v>
      </c>
      <c r="J11" s="29">
        <v>0.53682609871913278</v>
      </c>
      <c r="K11" s="29">
        <v>0.22735937359093722</v>
      </c>
      <c r="L11" s="34">
        <v>1014</v>
      </c>
      <c r="M11" s="35">
        <v>0.68717948717948718</v>
      </c>
      <c r="N11" s="35">
        <v>0.76988893193852515</v>
      </c>
      <c r="O11" s="35">
        <v>0.83244680851063835</v>
      </c>
      <c r="P11" s="29">
        <v>0.43425386268737359</v>
      </c>
    </row>
    <row r="12" spans="1:16">
      <c r="A12" s="32" t="s">
        <v>22</v>
      </c>
      <c r="B12" s="32" t="s">
        <v>18</v>
      </c>
      <c r="C12" s="33">
        <v>2016</v>
      </c>
      <c r="D12" s="34">
        <v>383139</v>
      </c>
      <c r="E12" s="29">
        <v>0.80395104648704518</v>
      </c>
      <c r="F12" s="29">
        <v>0.61494392374569018</v>
      </c>
      <c r="G12" s="29">
        <v>0.18900712274135498</v>
      </c>
      <c r="H12" s="29">
        <v>0.19828312962136457</v>
      </c>
      <c r="I12" s="29">
        <v>0.60566791686568056</v>
      </c>
      <c r="J12" s="29">
        <v>0.56772607330498848</v>
      </c>
      <c r="K12" s="29">
        <v>0.23622497318205665</v>
      </c>
      <c r="L12" s="34">
        <v>1230</v>
      </c>
      <c r="M12" s="35">
        <v>0.72727272727272729</v>
      </c>
      <c r="N12" s="35">
        <v>0.80496899165454405</v>
      </c>
      <c r="O12" s="35">
        <v>0.8633686690223793</v>
      </c>
      <c r="P12" s="29">
        <v>0.53032412774329452</v>
      </c>
    </row>
    <row r="13" spans="1:16">
      <c r="A13" s="32" t="s">
        <v>22</v>
      </c>
      <c r="B13" s="32" t="s">
        <v>18</v>
      </c>
      <c r="C13" s="33">
        <v>2017</v>
      </c>
      <c r="D13" s="34">
        <v>366936</v>
      </c>
      <c r="E13" s="29">
        <v>0.79363976279242154</v>
      </c>
      <c r="F13" s="29">
        <v>0.60781716702640243</v>
      </c>
      <c r="G13" s="29">
        <v>0.18582259576601914</v>
      </c>
      <c r="H13" s="29">
        <v>0.18803824100115551</v>
      </c>
      <c r="I13" s="29">
        <v>0.60560152179126603</v>
      </c>
      <c r="J13" s="29">
        <v>0.56148211132186543</v>
      </c>
      <c r="K13" s="29">
        <v>0.23215765147055617</v>
      </c>
      <c r="L13" s="34">
        <v>1191</v>
      </c>
      <c r="M13" s="35">
        <v>0.7080152671755725</v>
      </c>
      <c r="N13" s="35">
        <v>0.7982062780269058</v>
      </c>
      <c r="O13" s="35">
        <v>0.8571428571428571</v>
      </c>
      <c r="P13" s="29">
        <v>0.50952379060506492</v>
      </c>
    </row>
    <row r="14" spans="1:16">
      <c r="A14" s="32" t="s">
        <v>22</v>
      </c>
      <c r="B14" s="32" t="s">
        <v>19</v>
      </c>
      <c r="C14" s="33">
        <v>2015</v>
      </c>
      <c r="D14" s="34">
        <v>388128</v>
      </c>
      <c r="E14" s="29">
        <v>0.83868208426086244</v>
      </c>
      <c r="F14" s="29">
        <v>0.64155124082776815</v>
      </c>
      <c r="G14" s="29">
        <v>0.19713084343309423</v>
      </c>
      <c r="H14" s="29">
        <v>0.21471524857778876</v>
      </c>
      <c r="I14" s="29">
        <v>0.62396683568307365</v>
      </c>
      <c r="J14" s="29">
        <v>0.59453067029433593</v>
      </c>
      <c r="K14" s="29">
        <v>0.24415141396652651</v>
      </c>
      <c r="L14" s="34">
        <v>1248</v>
      </c>
      <c r="M14" s="35">
        <v>0.77015063896623115</v>
      </c>
      <c r="N14" s="35">
        <v>0.84477234131180112</v>
      </c>
      <c r="O14" s="35">
        <v>0.89148550724637676</v>
      </c>
      <c r="P14" s="29">
        <v>0.51400323805313008</v>
      </c>
    </row>
    <row r="15" spans="1:16">
      <c r="A15" s="32" t="s">
        <v>22</v>
      </c>
      <c r="B15" s="32" t="s">
        <v>19</v>
      </c>
      <c r="C15" s="33">
        <v>2016</v>
      </c>
      <c r="D15" s="34">
        <v>383139</v>
      </c>
      <c r="E15" s="29">
        <v>0.83670417263708474</v>
      </c>
      <c r="F15" s="29">
        <v>0.64228126084789072</v>
      </c>
      <c r="G15" s="29">
        <v>0.19442291178919399</v>
      </c>
      <c r="H15" s="29">
        <v>0.21708570518793441</v>
      </c>
      <c r="I15" s="29">
        <v>0.61961846744915028</v>
      </c>
      <c r="J15" s="29">
        <v>0.59242468138195281</v>
      </c>
      <c r="K15" s="29">
        <v>0.24427949125513196</v>
      </c>
      <c r="L15" s="34">
        <v>1230</v>
      </c>
      <c r="M15" s="35">
        <v>0.76811594202898548</v>
      </c>
      <c r="N15" s="35">
        <v>0.83932551794302634</v>
      </c>
      <c r="O15" s="35">
        <v>0.88994307400379502</v>
      </c>
      <c r="P15" s="29">
        <v>0.53032412774329452</v>
      </c>
    </row>
    <row r="16" spans="1:16">
      <c r="A16" s="32" t="s">
        <v>22</v>
      </c>
      <c r="B16" s="32" t="s">
        <v>20</v>
      </c>
      <c r="C16" s="33">
        <v>2016</v>
      </c>
      <c r="D16" s="34">
        <v>308025</v>
      </c>
      <c r="E16" s="29">
        <v>0.91516922327733141</v>
      </c>
      <c r="F16" s="29">
        <v>0.90290693479451123</v>
      </c>
      <c r="G16" s="29">
        <v>0.95506517896597432</v>
      </c>
      <c r="H16" s="29">
        <v>0.79501118862708964</v>
      </c>
      <c r="I16" s="29">
        <v>0.95450647475813921</v>
      </c>
      <c r="J16" s="29">
        <v>0.89949797258157949</v>
      </c>
      <c r="K16" s="29">
        <v>0.95283237760615203</v>
      </c>
      <c r="L16" s="34">
        <v>1230</v>
      </c>
      <c r="M16" s="35">
        <v>0.87892376681614348</v>
      </c>
      <c r="N16" s="35">
        <v>0.91596638655462181</v>
      </c>
      <c r="O16" s="35">
        <v>0.94222222222222218</v>
      </c>
      <c r="P16" s="29">
        <v>0.53032412774329452</v>
      </c>
    </row>
    <row r="17" spans="1:16">
      <c r="A17" s="32" t="s">
        <v>22</v>
      </c>
      <c r="B17" s="32" t="s">
        <v>21</v>
      </c>
      <c r="C17" s="33">
        <v>2012</v>
      </c>
      <c r="D17" s="34">
        <v>490469</v>
      </c>
      <c r="E17" s="29">
        <v>0.53324674953972628</v>
      </c>
      <c r="F17" s="29">
        <v>0.38246453904324229</v>
      </c>
      <c r="G17" s="29">
        <v>0.15078221049648396</v>
      </c>
      <c r="H17" s="29">
        <v>8.2541404247771011E-2</v>
      </c>
      <c r="I17" s="29">
        <v>0.45070534529195527</v>
      </c>
      <c r="J17" s="29">
        <v>0.37505530420882871</v>
      </c>
      <c r="K17" s="29">
        <v>0.15819144533089757</v>
      </c>
      <c r="L17" s="34">
        <v>1562</v>
      </c>
      <c r="M17" s="35">
        <v>0.4157303370786517</v>
      </c>
      <c r="N17" s="35">
        <v>0.54252318660022147</v>
      </c>
      <c r="O17" s="35">
        <v>0.63730569948186533</v>
      </c>
      <c r="P17" s="29">
        <v>0.53092207991019036</v>
      </c>
    </row>
    <row r="18" spans="1:16">
      <c r="A18" s="32"/>
      <c r="B18" s="32"/>
      <c r="C18" s="33"/>
      <c r="L18" s="34"/>
      <c r="M18" s="35"/>
      <c r="N18" s="35"/>
      <c r="O18" s="35"/>
    </row>
    <row r="19" spans="1:16">
      <c r="A19" s="32"/>
      <c r="B19" s="32"/>
      <c r="C19" s="33"/>
      <c r="L19" s="34"/>
      <c r="M19" s="35"/>
      <c r="N19" s="35"/>
      <c r="O19" s="35"/>
    </row>
    <row r="20" spans="1:16">
      <c r="A20" s="32"/>
      <c r="B20" s="32"/>
      <c r="C20" s="33"/>
      <c r="L20" s="34"/>
      <c r="M20" s="35"/>
      <c r="N20" s="35"/>
      <c r="O20" s="35"/>
    </row>
    <row r="21" spans="1:16">
      <c r="A21" s="32"/>
      <c r="B21" s="32"/>
      <c r="C21" s="33"/>
      <c r="L21" s="34"/>
      <c r="M21" s="35"/>
      <c r="N21" s="35"/>
      <c r="O21" s="35"/>
    </row>
    <row r="22" spans="1:16">
      <c r="A22" s="32"/>
      <c r="B22" s="32"/>
      <c r="C22" s="33"/>
      <c r="L22" s="34"/>
      <c r="M22" s="35"/>
      <c r="N22" s="35"/>
      <c r="O22" s="35"/>
    </row>
    <row r="23" spans="1:16">
      <c r="A23" s="32"/>
      <c r="B23" s="32"/>
      <c r="C23" s="33"/>
      <c r="L23" s="34"/>
      <c r="M23" s="35"/>
      <c r="N23" s="35"/>
      <c r="O23" s="35"/>
    </row>
    <row r="24" spans="1:16">
      <c r="A24" s="32"/>
      <c r="B24" s="32"/>
      <c r="C24" s="33"/>
      <c r="L24" s="34"/>
      <c r="M24" s="35"/>
      <c r="N24" s="35"/>
      <c r="O24" s="35"/>
    </row>
    <row r="25" spans="1:16">
      <c r="A25" s="32"/>
      <c r="B25" s="32"/>
      <c r="C25" s="33"/>
      <c r="L25" s="34"/>
      <c r="M25" s="35"/>
      <c r="N25" s="35"/>
      <c r="O25" s="35"/>
    </row>
    <row r="26" spans="1:16">
      <c r="A26" s="32"/>
      <c r="B26" s="32"/>
      <c r="C26" s="33"/>
      <c r="L26" s="34"/>
      <c r="M26" s="35"/>
      <c r="N26" s="35"/>
      <c r="O26" s="35"/>
    </row>
    <row r="27" spans="1:16">
      <c r="A27" s="32"/>
      <c r="B27" s="32"/>
      <c r="C27" s="33"/>
      <c r="L27" s="34"/>
      <c r="M27" s="35"/>
      <c r="N27" s="35"/>
      <c r="O27" s="35"/>
    </row>
    <row r="28" spans="1:16">
      <c r="A28" s="32"/>
      <c r="B28" s="32"/>
      <c r="C28" s="33"/>
      <c r="L28" s="34"/>
      <c r="M28" s="35"/>
      <c r="N28" s="35"/>
      <c r="O28" s="35"/>
    </row>
    <row r="29" spans="1:16">
      <c r="A29" s="32"/>
      <c r="B29" s="32"/>
      <c r="C29" s="33"/>
      <c r="L29" s="34"/>
      <c r="M29" s="35"/>
      <c r="N29" s="35"/>
      <c r="O29" s="35"/>
    </row>
    <row r="30" spans="1:16">
      <c r="A30" s="32"/>
      <c r="B30" s="32"/>
      <c r="C30" s="33"/>
      <c r="L30" s="34"/>
      <c r="M30" s="35"/>
      <c r="N30" s="35"/>
      <c r="O30" s="35"/>
    </row>
    <row r="31" spans="1:16">
      <c r="A31" s="32"/>
      <c r="B31" s="32"/>
      <c r="C31" s="33"/>
      <c r="L31" s="34"/>
      <c r="M31" s="35"/>
      <c r="N31" s="35"/>
      <c r="O31" s="35"/>
    </row>
    <row r="32" spans="1:16">
      <c r="A32" s="32"/>
      <c r="B32" s="32"/>
      <c r="C32" s="33"/>
      <c r="L32" s="34"/>
      <c r="M32" s="35"/>
      <c r="N32" s="35"/>
      <c r="O32" s="35"/>
    </row>
    <row r="33" spans="1:15">
      <c r="A33" s="32"/>
      <c r="B33" s="32"/>
      <c r="C33" s="33"/>
      <c r="L33" s="34"/>
      <c r="M33" s="35"/>
      <c r="N33" s="35"/>
      <c r="O33" s="35"/>
    </row>
    <row r="34" spans="1:15">
      <c r="A34" s="32"/>
      <c r="B34" s="32"/>
      <c r="C34" s="33"/>
      <c r="L34" s="34"/>
      <c r="M34" s="35"/>
      <c r="N34" s="35"/>
      <c r="O34" s="35"/>
    </row>
    <row r="35" spans="1:15">
      <c r="A35" s="32"/>
      <c r="B35" s="32"/>
      <c r="C35" s="33"/>
      <c r="L35" s="34"/>
      <c r="M35" s="35"/>
      <c r="N35" s="35"/>
      <c r="O35" s="35"/>
    </row>
    <row r="36" spans="1:15">
      <c r="A36" s="32"/>
      <c r="B36" s="32"/>
      <c r="C36" s="33"/>
      <c r="L36" s="34"/>
      <c r="M36" s="35"/>
      <c r="N36" s="35"/>
      <c r="O36" s="35"/>
    </row>
    <row r="37" spans="1:15">
      <c r="A37" s="32"/>
      <c r="B37" s="32"/>
      <c r="C37" s="33"/>
      <c r="L37" s="34"/>
      <c r="M37" s="35"/>
      <c r="N37" s="35"/>
      <c r="O37" s="35"/>
    </row>
    <row r="38" spans="1:15">
      <c r="A38" s="32"/>
      <c r="B38" s="32"/>
      <c r="C38" s="33"/>
      <c r="L38" s="34"/>
      <c r="M38" s="35"/>
      <c r="N38" s="35"/>
      <c r="O38" s="35"/>
    </row>
    <row r="39" spans="1:15">
      <c r="A39" s="32"/>
      <c r="B39" s="32"/>
      <c r="C39" s="33"/>
      <c r="L39" s="34"/>
      <c r="M39" s="35"/>
      <c r="N39" s="35"/>
      <c r="O39" s="35"/>
    </row>
    <row r="40" spans="1:15">
      <c r="A40" s="32"/>
      <c r="B40" s="32"/>
      <c r="C40" s="33"/>
      <c r="L40" s="34"/>
      <c r="M40" s="35"/>
      <c r="N40" s="35"/>
      <c r="O40" s="35"/>
    </row>
    <row r="41" spans="1:15">
      <c r="A41" s="32"/>
      <c r="B41" s="32"/>
      <c r="C41" s="33"/>
      <c r="L41" s="34"/>
      <c r="M41" s="35"/>
      <c r="N41" s="35"/>
      <c r="O41" s="35"/>
    </row>
    <row r="42" spans="1:15">
      <c r="A42" s="32"/>
      <c r="B42" s="32"/>
      <c r="C42" s="33"/>
      <c r="L42" s="34"/>
      <c r="M42" s="35"/>
      <c r="N42" s="35"/>
      <c r="O42" s="35"/>
    </row>
    <row r="43" spans="1:15">
      <c r="A43" s="32"/>
      <c r="B43" s="32"/>
      <c r="C43" s="33"/>
      <c r="L43" s="34"/>
      <c r="M43" s="35"/>
      <c r="N43" s="35"/>
      <c r="O43" s="35"/>
    </row>
    <row r="44" spans="1:15">
      <c r="A44" s="32"/>
      <c r="B44" s="32"/>
      <c r="C44" s="33"/>
      <c r="L44" s="34"/>
      <c r="M44" s="35"/>
      <c r="N44" s="35"/>
      <c r="O44" s="35"/>
    </row>
    <row r="45" spans="1:15">
      <c r="A45" s="32"/>
      <c r="B45" s="32"/>
      <c r="C45" s="33"/>
      <c r="L45" s="34"/>
      <c r="M45" s="35"/>
      <c r="N45" s="35"/>
      <c r="O45" s="35"/>
    </row>
    <row r="46" spans="1:15">
      <c r="A46" s="32"/>
      <c r="B46" s="32"/>
      <c r="C46" s="33"/>
      <c r="L46" s="34"/>
      <c r="M46" s="35"/>
      <c r="N46" s="35"/>
      <c r="O46" s="35"/>
    </row>
    <row r="47" spans="1:15">
      <c r="A47" s="32"/>
      <c r="B47" s="32"/>
      <c r="C47" s="33"/>
      <c r="L47" s="34"/>
      <c r="M47" s="35"/>
      <c r="N47" s="35"/>
      <c r="O47" s="35"/>
    </row>
    <row r="48" spans="1:15">
      <c r="A48" s="32"/>
      <c r="B48" s="32"/>
      <c r="C48" s="33"/>
      <c r="L48" s="34"/>
      <c r="M48" s="35"/>
      <c r="N48" s="35"/>
      <c r="O48" s="35"/>
    </row>
    <row r="49" spans="1:15">
      <c r="A49" s="32"/>
      <c r="B49" s="32"/>
      <c r="C49" s="33"/>
      <c r="L49" s="34"/>
      <c r="M49" s="35"/>
      <c r="N49" s="35"/>
      <c r="O49" s="35"/>
    </row>
    <row r="50" spans="1:15">
      <c r="A50" s="32"/>
      <c r="B50" s="32"/>
      <c r="C50" s="33"/>
      <c r="L50" s="34"/>
      <c r="M50" s="35"/>
      <c r="N50" s="35"/>
      <c r="O50" s="35"/>
    </row>
    <row r="51" spans="1:15">
      <c r="A51" s="32"/>
      <c r="B51" s="32"/>
      <c r="C51" s="33"/>
      <c r="L51" s="34"/>
      <c r="M51" s="35"/>
      <c r="N51" s="35"/>
      <c r="O51" s="35"/>
    </row>
    <row r="52" spans="1:15">
      <c r="A52" s="32"/>
      <c r="B52" s="32"/>
      <c r="C52" s="33"/>
      <c r="L52" s="34"/>
      <c r="M52" s="35"/>
      <c r="N52" s="35"/>
      <c r="O52" s="35"/>
    </row>
    <row r="53" spans="1:15">
      <c r="A53" s="32"/>
      <c r="B53" s="32"/>
      <c r="C53" s="33"/>
      <c r="L53" s="34"/>
      <c r="M53" s="35"/>
      <c r="N53" s="35"/>
      <c r="O53" s="35"/>
    </row>
    <row r="54" spans="1:15">
      <c r="A54" s="32"/>
      <c r="B54" s="32"/>
      <c r="C54" s="33"/>
      <c r="L54" s="34"/>
      <c r="M54" s="35"/>
      <c r="N54" s="35"/>
      <c r="O54" s="35"/>
    </row>
    <row r="55" spans="1:15">
      <c r="A55" s="32"/>
      <c r="B55" s="32"/>
      <c r="C55" s="33"/>
      <c r="L55" s="34"/>
      <c r="M55" s="35"/>
      <c r="N55" s="35"/>
      <c r="O55" s="35"/>
    </row>
    <row r="56" spans="1:15">
      <c r="A56" s="32"/>
      <c r="B56" s="32"/>
      <c r="C56" s="33"/>
      <c r="L56" s="34"/>
      <c r="M56" s="35"/>
      <c r="N56" s="35"/>
      <c r="O56" s="35"/>
    </row>
    <row r="57" spans="1:15">
      <c r="A57" s="32"/>
      <c r="B57" s="32"/>
      <c r="C57" s="33"/>
      <c r="L57" s="34"/>
      <c r="M57" s="35"/>
      <c r="N57" s="35"/>
      <c r="O57" s="35"/>
    </row>
    <row r="58" spans="1:15">
      <c r="A58" s="32"/>
      <c r="B58" s="32"/>
      <c r="C58" s="33"/>
      <c r="L58" s="34"/>
      <c r="M58" s="35"/>
      <c r="N58" s="35"/>
      <c r="O58" s="35"/>
    </row>
    <row r="59" spans="1:15">
      <c r="A59" s="32"/>
      <c r="B59" s="32"/>
      <c r="C59" s="33"/>
      <c r="L59" s="34"/>
      <c r="M59" s="35"/>
      <c r="N59" s="35"/>
      <c r="O59" s="35"/>
    </row>
    <row r="60" spans="1:15">
      <c r="A60" s="32"/>
      <c r="B60" s="32"/>
      <c r="C60" s="33"/>
      <c r="L60" s="34"/>
      <c r="M60" s="35"/>
      <c r="N60" s="35"/>
      <c r="O60" s="35"/>
    </row>
    <row r="61" spans="1:15">
      <c r="A61" s="32"/>
      <c r="B61" s="32"/>
      <c r="C61" s="33"/>
      <c r="L61" s="34"/>
      <c r="M61" s="35"/>
      <c r="N61" s="35"/>
      <c r="O61" s="35"/>
    </row>
    <row r="62" spans="1:15">
      <c r="A62" s="32"/>
      <c r="B62" s="32"/>
      <c r="C62" s="33"/>
      <c r="L62" s="34"/>
      <c r="M62" s="35"/>
      <c r="N62" s="35"/>
      <c r="O62" s="35"/>
    </row>
    <row r="63" spans="1:15">
      <c r="A63" s="32"/>
      <c r="B63" s="32"/>
      <c r="C63" s="33"/>
      <c r="L63" s="34"/>
      <c r="M63" s="35"/>
      <c r="N63" s="35"/>
      <c r="O63" s="35"/>
    </row>
    <row r="64" spans="1:15">
      <c r="A64" s="32"/>
      <c r="B64" s="32"/>
      <c r="C64" s="33"/>
      <c r="L64" s="34"/>
      <c r="M64" s="35"/>
      <c r="N64" s="35"/>
      <c r="O64" s="35"/>
    </row>
    <row r="65" spans="1:15">
      <c r="A65" s="32"/>
      <c r="B65" s="32"/>
      <c r="C65" s="33"/>
      <c r="L65" s="34"/>
      <c r="M65" s="35"/>
      <c r="N65" s="35"/>
      <c r="O65" s="35"/>
    </row>
    <row r="66" spans="1:15">
      <c r="A66" s="32"/>
      <c r="B66" s="32"/>
      <c r="C66" s="33"/>
      <c r="L66" s="34"/>
      <c r="M66" s="35"/>
      <c r="N66" s="35"/>
      <c r="O66" s="35"/>
    </row>
    <row r="67" spans="1:15">
      <c r="A67" s="32"/>
      <c r="B67" s="32"/>
      <c r="C67" s="33"/>
      <c r="L67" s="34"/>
      <c r="M67" s="35"/>
      <c r="N67" s="35"/>
      <c r="O67" s="35"/>
    </row>
    <row r="68" spans="1:15">
      <c r="A68" s="32"/>
      <c r="B68" s="32"/>
      <c r="C68" s="33"/>
      <c r="L68" s="34"/>
      <c r="M68" s="35"/>
      <c r="N68" s="35"/>
      <c r="O68" s="35"/>
    </row>
    <row r="69" spans="1:15">
      <c r="A69" s="32"/>
      <c r="B69" s="32"/>
      <c r="C69" s="33"/>
      <c r="L69" s="34"/>
      <c r="M69" s="35"/>
      <c r="N69" s="35"/>
      <c r="O69" s="35"/>
    </row>
    <row r="70" spans="1:15">
      <c r="A70" s="32"/>
      <c r="B70" s="32"/>
      <c r="C70" s="33"/>
      <c r="L70" s="34"/>
      <c r="M70" s="35"/>
      <c r="N70" s="35"/>
      <c r="O70" s="35"/>
    </row>
    <row r="71" spans="1:15">
      <c r="A71" s="32"/>
      <c r="B71" s="32"/>
      <c r="C71" s="33"/>
      <c r="L71" s="34"/>
      <c r="M71" s="35"/>
      <c r="N71" s="35"/>
      <c r="O71" s="35"/>
    </row>
    <row r="72" spans="1:15">
      <c r="A72" s="32"/>
      <c r="B72" s="32"/>
      <c r="C72" s="33"/>
      <c r="L72" s="34"/>
      <c r="M72" s="35"/>
      <c r="N72" s="35"/>
      <c r="O72" s="35"/>
    </row>
    <row r="73" spans="1:15">
      <c r="A73" s="32"/>
      <c r="B73" s="32"/>
      <c r="C73" s="33"/>
      <c r="L73" s="34"/>
      <c r="M73" s="35"/>
      <c r="N73" s="35"/>
      <c r="O73" s="35"/>
    </row>
    <row r="74" spans="1:15">
      <c r="A74" s="32"/>
      <c r="B74" s="32"/>
      <c r="C74" s="33"/>
      <c r="L74" s="34"/>
      <c r="M74" s="35"/>
      <c r="N74" s="35"/>
      <c r="O74" s="35"/>
    </row>
    <row r="75" spans="1:15">
      <c r="A75" s="32"/>
      <c r="B75" s="32"/>
      <c r="C75" s="33"/>
      <c r="L75" s="34"/>
      <c r="M75" s="35"/>
      <c r="N75" s="35"/>
      <c r="O75" s="35"/>
    </row>
    <row r="76" spans="1:15">
      <c r="A76" s="32"/>
      <c r="B76" s="32"/>
      <c r="C76" s="33"/>
      <c r="L76" s="34"/>
      <c r="M76" s="35"/>
      <c r="N76" s="35"/>
      <c r="O76" s="35"/>
    </row>
    <row r="77" spans="1:15">
      <c r="A77" s="32"/>
      <c r="B77" s="32"/>
      <c r="C77" s="33"/>
      <c r="L77" s="34"/>
      <c r="M77" s="35"/>
      <c r="N77" s="35"/>
      <c r="O77" s="35"/>
    </row>
    <row r="78" spans="1:15">
      <c r="A78" s="32"/>
      <c r="B78" s="32"/>
      <c r="C78" s="33"/>
      <c r="L78" s="34"/>
      <c r="M78" s="35"/>
      <c r="N78" s="35"/>
      <c r="O78" s="35"/>
    </row>
    <row r="79" spans="1:15">
      <c r="A79" s="32"/>
      <c r="B79" s="32"/>
      <c r="C79" s="33"/>
      <c r="L79" s="34"/>
      <c r="M79" s="35"/>
      <c r="N79" s="35"/>
      <c r="O79" s="35"/>
    </row>
    <row r="80" spans="1:15">
      <c r="A80" s="31"/>
      <c r="B80" s="31"/>
      <c r="C80" s="31"/>
      <c r="L80" s="31"/>
      <c r="M80" s="29"/>
      <c r="N80" s="29"/>
      <c r="O80" s="29"/>
    </row>
    <row r="81" spans="12:15">
      <c r="L81" s="31"/>
      <c r="M81" s="29"/>
      <c r="N81" s="29"/>
      <c r="O81" s="29"/>
    </row>
    <row r="82" spans="12:15">
      <c r="L82" s="31"/>
      <c r="M82" s="29"/>
      <c r="N82" s="29"/>
      <c r="O82" s="29"/>
    </row>
    <row r="83" spans="12:15">
      <c r="L83" s="31"/>
      <c r="M83" s="29"/>
      <c r="N83" s="29"/>
      <c r="O83" s="29"/>
    </row>
    <row r="84" spans="12:15">
      <c r="L84" s="31"/>
      <c r="M84" s="29"/>
      <c r="N84" s="29"/>
      <c r="O84" s="29"/>
    </row>
    <row r="85" spans="12:15">
      <c r="L85" s="31"/>
      <c r="M85" s="29"/>
      <c r="N85" s="29"/>
      <c r="O85" s="29"/>
    </row>
    <row r="86" spans="12:15">
      <c r="L86" s="31"/>
      <c r="M86" s="29"/>
      <c r="N86" s="29"/>
      <c r="O86" s="29"/>
    </row>
    <row r="87" spans="12:15">
      <c r="L87" s="31"/>
      <c r="M87" s="29"/>
      <c r="N87" s="29"/>
      <c r="O87" s="29"/>
    </row>
    <row r="88" spans="12:15">
      <c r="L88" s="31"/>
      <c r="M88" s="29"/>
      <c r="N88" s="29"/>
      <c r="O88" s="29"/>
    </row>
    <row r="89" spans="12:15">
      <c r="L89" s="31"/>
      <c r="M89" s="29"/>
      <c r="N89" s="29"/>
      <c r="O89" s="29"/>
    </row>
    <row r="90" spans="12:15">
      <c r="L90" s="31"/>
      <c r="M90" s="29"/>
      <c r="N90" s="29"/>
      <c r="O90" s="29"/>
    </row>
    <row r="91" spans="12:15">
      <c r="L91" s="31"/>
      <c r="M91" s="29"/>
      <c r="N91" s="29"/>
      <c r="O91" s="29"/>
    </row>
    <row r="92" spans="12:15">
      <c r="L92" s="31"/>
      <c r="M92" s="29"/>
      <c r="N92" s="29"/>
      <c r="O92" s="29"/>
    </row>
    <row r="93" spans="12:15">
      <c r="L93" s="31"/>
      <c r="M93" s="29"/>
      <c r="N93" s="29"/>
      <c r="O93" s="29"/>
    </row>
    <row r="94" spans="12:15">
      <c r="L94" s="34"/>
      <c r="M94" s="29"/>
      <c r="N94" s="29"/>
      <c r="O94" s="29"/>
    </row>
    <row r="95" spans="12:15">
      <c r="L95" s="31"/>
      <c r="M95" s="29"/>
      <c r="N95" s="29"/>
      <c r="O95" s="29"/>
    </row>
    <row r="96" spans="12:15">
      <c r="L96" s="34"/>
      <c r="M96" s="29"/>
      <c r="N96" s="29"/>
      <c r="O96" s="29"/>
    </row>
    <row r="97" spans="12:15">
      <c r="L97" s="34"/>
      <c r="M97" s="29"/>
      <c r="N97" s="29"/>
      <c r="O97" s="29"/>
    </row>
    <row r="98" spans="12:15">
      <c r="L98" s="34"/>
      <c r="M98" s="29"/>
      <c r="N98" s="29"/>
      <c r="O98" s="29"/>
    </row>
    <row r="99" spans="12:15">
      <c r="L99" s="34"/>
      <c r="M99" s="29"/>
      <c r="N99" s="29"/>
      <c r="O99" s="29"/>
    </row>
    <row r="100" spans="12:15">
      <c r="L100" s="34"/>
      <c r="M100" s="29"/>
      <c r="N100" s="29"/>
      <c r="O100" s="29"/>
    </row>
    <row r="101" spans="12:15">
      <c r="L101" s="34"/>
      <c r="M101" s="29"/>
      <c r="N101" s="29"/>
      <c r="O101" s="29"/>
    </row>
    <row r="102" spans="12:15">
      <c r="L102" s="31"/>
      <c r="M102" s="29"/>
      <c r="N102" s="29"/>
      <c r="O102" s="29"/>
    </row>
    <row r="103" spans="12:15">
      <c r="L103" s="31"/>
      <c r="M103" s="29"/>
      <c r="N103" s="29"/>
      <c r="O103" s="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4"/>
  <sheetViews>
    <sheetView tabSelected="1" workbookViewId="0">
      <selection activeCell="A138" sqref="A138"/>
    </sheetView>
  </sheetViews>
  <sheetFormatPr defaultRowHeight="14.45"/>
  <cols>
    <col min="1" max="1" width="11.7109375" customWidth="1"/>
    <col min="2" max="2" width="10.7109375" style="21" customWidth="1"/>
    <col min="3" max="9" width="10.7109375" customWidth="1"/>
    <col min="12" max="12" width="9.140625" style="16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</cols>
  <sheetData>
    <row r="1" spans="1:30" s="8" customFormat="1" ht="31.9" thickBot="1">
      <c r="A1" s="15" t="str">
        <f ca="1">INDIRECT(CONCATENATE("'All DATA'!A",$N1))</f>
        <v>High Poverty Schools</v>
      </c>
      <c r="B1" s="34"/>
      <c r="C1" s="31"/>
      <c r="D1" s="31"/>
      <c r="E1" s="31"/>
      <c r="F1" s="31"/>
      <c r="G1" s="31"/>
      <c r="H1" s="31"/>
      <c r="I1" s="31"/>
      <c r="J1" s="31"/>
      <c r="K1" s="31"/>
      <c r="L1" s="31"/>
      <c r="M1" s="25">
        <v>1</v>
      </c>
      <c r="N1" s="22">
        <f>2+8*($M$1-1)</f>
        <v>2</v>
      </c>
      <c r="O1" s="22" t="s">
        <v>23</v>
      </c>
      <c r="P1" s="22" t="s">
        <v>24</v>
      </c>
      <c r="Q1" s="22" t="s">
        <v>25</v>
      </c>
      <c r="R1" s="22" t="s">
        <v>26</v>
      </c>
      <c r="S1" s="22" t="s">
        <v>27</v>
      </c>
      <c r="T1" s="22" t="s">
        <v>28</v>
      </c>
      <c r="U1" s="22" t="s">
        <v>29</v>
      </c>
      <c r="V1" s="22" t="s">
        <v>30</v>
      </c>
      <c r="W1" s="22" t="s">
        <v>31</v>
      </c>
      <c r="X1" s="22" t="s">
        <v>32</v>
      </c>
      <c r="Y1" s="22" t="s">
        <v>33</v>
      </c>
      <c r="Z1" s="22" t="s">
        <v>34</v>
      </c>
      <c r="AA1" s="22" t="s">
        <v>35</v>
      </c>
      <c r="AB1" s="17"/>
      <c r="AC1" s="17"/>
      <c r="AD1" s="3"/>
    </row>
    <row r="2" spans="1:30" ht="15" thickBot="1">
      <c r="A2" s="31" t="str">
        <f ca="1">CONCATENATE("Table ",N2,"a. College Enrollment Rates in the First Fall after High School Graduation for Classes ",A4," and ",A5,", School Percentile Distribution")</f>
        <v>Table 1a. College Enrollment Rates in the First Fall after High School Graduation for Classes 2017 and 2018, School Percentile Distribution</v>
      </c>
      <c r="B2" s="34"/>
      <c r="C2" s="31"/>
      <c r="D2" s="31"/>
      <c r="E2" s="31"/>
      <c r="F2" s="31"/>
      <c r="G2" s="31"/>
      <c r="H2" s="31"/>
      <c r="I2" s="31"/>
      <c r="J2" s="31"/>
      <c r="K2" s="31"/>
      <c r="L2" s="31"/>
      <c r="N2" s="22">
        <f>1+5*($M$1-1)</f>
        <v>1</v>
      </c>
      <c r="AD2" s="31"/>
    </row>
    <row r="3" spans="1:30" s="16" customFormat="1" ht="29.45" thickBot="1">
      <c r="A3" s="10"/>
      <c r="B3" s="19" t="s">
        <v>36</v>
      </c>
      <c r="C3" s="11" t="s">
        <v>37</v>
      </c>
      <c r="D3" s="11" t="s">
        <v>38</v>
      </c>
      <c r="E3" s="11" t="s">
        <v>39</v>
      </c>
      <c r="F3" s="31"/>
      <c r="G3" s="31"/>
      <c r="H3" s="31"/>
      <c r="I3" s="31"/>
      <c r="J3" s="31"/>
      <c r="K3" s="31"/>
      <c r="L3" s="31"/>
      <c r="M3" s="22"/>
      <c r="N3" s="22"/>
      <c r="O3" s="22"/>
      <c r="P3" s="22"/>
      <c r="Q3" s="3"/>
      <c r="R3" s="22"/>
      <c r="S3" s="22"/>
      <c r="T3" s="22"/>
      <c r="U3" s="22"/>
      <c r="V3" s="22"/>
      <c r="W3" s="22"/>
      <c r="X3" s="22"/>
      <c r="Y3" s="22"/>
      <c r="Z3" s="22"/>
      <c r="AA3" s="22"/>
      <c r="AB3" s="17"/>
      <c r="AC3" s="17"/>
      <c r="AD3" s="31"/>
    </row>
    <row r="4" spans="1:30" s="16" customFormat="1" ht="15" thickBot="1">
      <c r="A4" s="12">
        <f ca="1">INDIRECT(CONCATENATE("'ALL DATA'!",O$1,$N4))</f>
        <v>2017</v>
      </c>
      <c r="B4" s="13">
        <f ca="1">INDIRECT(CONCATENATE("'ALL DATA'!",X$1,$N4))</f>
        <v>890</v>
      </c>
      <c r="C4" s="14">
        <f ca="1">IF(ISBLANK(INDIRECT(CONCATENATE("'ALL DATA'!",Y$1,$N4))),"*",INDIRECT(CONCATENATE("'ALL DATA'!",Y$1,$N4)))</f>
        <v>0.40350877192982454</v>
      </c>
      <c r="D4" s="14">
        <f t="shared" ref="D4:D5" ca="1" si="0">IF(ISBLANK(INDIRECT(CONCATENATE("'ALL DATA'!",Z$1,$N4))),"*",INDIRECT(CONCATENATE("'ALL DATA'!",Z$1,$N4)))</f>
        <v>0.53586573437117169</v>
      </c>
      <c r="E4" s="14">
        <f t="shared" ref="E4:E5" ca="1" si="1">IF(ISBLANK(INDIRECT(CONCATENATE("'ALL DATA'!",AA$1,$N4))),"*",INDIRECT(CONCATENATE("'ALL DATA'!",AA$1,$N4)))</f>
        <v>0.66265060240963858</v>
      </c>
      <c r="F4" s="31"/>
      <c r="G4" s="31"/>
      <c r="H4" s="31"/>
      <c r="I4" s="31"/>
      <c r="J4" s="31"/>
      <c r="K4" s="31"/>
      <c r="L4" s="31"/>
      <c r="M4" s="22"/>
      <c r="N4" s="22">
        <f>2+8*($M$1-1)</f>
        <v>2</v>
      </c>
      <c r="O4" s="22"/>
      <c r="P4" s="22"/>
      <c r="Q4" s="3"/>
      <c r="R4" s="22"/>
      <c r="S4" s="22"/>
      <c r="T4" s="22"/>
      <c r="U4" s="22"/>
      <c r="V4" s="22"/>
      <c r="W4" s="22"/>
      <c r="X4" s="22"/>
      <c r="Y4" s="22"/>
      <c r="Z4" s="22"/>
      <c r="AA4" s="22"/>
      <c r="AB4" s="17"/>
      <c r="AC4" s="17"/>
      <c r="AD4" s="31"/>
    </row>
    <row r="5" spans="1:30" s="16" customFormat="1" ht="15" thickBot="1">
      <c r="A5" s="12">
        <f ca="1">INDIRECT(CONCATENATE("'ALL DATA'!",O$1,$N5))</f>
        <v>2018</v>
      </c>
      <c r="B5" s="13">
        <f ca="1">INDIRECT(CONCATENATE("'ALL DATA'!",X$1,$N5))</f>
        <v>790</v>
      </c>
      <c r="C5" s="14">
        <f ca="1">IF(ISBLANK(INDIRECT(CONCATENATE("'ALL DATA'!",Y$1,$N5))),"*",INDIRECT(CONCATENATE("'ALL DATA'!",Y$1,$N5)))</f>
        <v>0.38095238095238093</v>
      </c>
      <c r="D5" s="14">
        <f t="shared" ca="1" si="0"/>
        <v>0.5266488218798937</v>
      </c>
      <c r="E5" s="14">
        <f t="shared" ca="1" si="1"/>
        <v>0.64978902953586493</v>
      </c>
      <c r="F5" s="31"/>
      <c r="G5" s="31"/>
      <c r="H5" s="31"/>
      <c r="I5" s="31"/>
      <c r="J5" s="31"/>
      <c r="K5" s="31"/>
      <c r="L5" s="31"/>
      <c r="M5" s="22"/>
      <c r="N5" s="22">
        <f>3+8*($M$1-1)</f>
        <v>3</v>
      </c>
      <c r="O5" s="22"/>
      <c r="P5" s="22"/>
      <c r="Q5" s="3"/>
      <c r="R5" s="22"/>
      <c r="S5" s="22"/>
      <c r="T5" s="22"/>
      <c r="U5" s="22"/>
      <c r="V5" s="22"/>
      <c r="W5" s="22"/>
      <c r="X5" s="22"/>
      <c r="Y5" s="22"/>
      <c r="Z5" s="22"/>
      <c r="AA5" s="22"/>
      <c r="AB5" s="17"/>
      <c r="AC5" s="17"/>
      <c r="AD5" s="31"/>
    </row>
    <row r="6" spans="1:30" s="16" customFormat="1">
      <c r="A6" s="31"/>
      <c r="B6" s="34"/>
      <c r="C6" s="31"/>
      <c r="D6" s="31"/>
      <c r="E6" s="31"/>
      <c r="F6" s="31"/>
      <c r="G6" s="31"/>
      <c r="H6" s="31"/>
      <c r="I6" s="31"/>
      <c r="J6" s="31"/>
      <c r="K6" s="31"/>
      <c r="L6" s="31"/>
      <c r="M6" s="22"/>
      <c r="N6" s="22"/>
      <c r="O6" s="22"/>
      <c r="P6" s="22"/>
      <c r="Q6" s="3"/>
      <c r="R6" s="22"/>
      <c r="S6" s="22"/>
      <c r="T6" s="22"/>
      <c r="U6" s="22"/>
      <c r="V6" s="22"/>
      <c r="W6" s="22"/>
      <c r="X6" s="22"/>
      <c r="Y6" s="22"/>
      <c r="Z6" s="22"/>
      <c r="AA6" s="22"/>
      <c r="AB6" s="17"/>
      <c r="AC6" s="17"/>
      <c r="AD6" s="31"/>
    </row>
    <row r="7" spans="1:30" s="16" customFormat="1">
      <c r="A7" s="31"/>
      <c r="B7" s="34"/>
      <c r="C7" s="31"/>
      <c r="D7" s="31"/>
      <c r="E7" s="31"/>
      <c r="F7" s="31"/>
      <c r="G7" s="31"/>
      <c r="H7" s="31"/>
      <c r="I7" s="31"/>
      <c r="J7" s="31"/>
      <c r="K7" s="31"/>
      <c r="L7" s="31"/>
      <c r="M7" s="22"/>
      <c r="N7" s="22"/>
      <c r="O7" s="22"/>
      <c r="P7" s="22"/>
      <c r="Q7" s="3"/>
      <c r="R7" s="22"/>
      <c r="S7" s="22"/>
      <c r="T7" s="22"/>
      <c r="U7" s="22"/>
      <c r="V7" s="22"/>
      <c r="W7" s="22"/>
      <c r="X7" s="22"/>
      <c r="Y7" s="22"/>
      <c r="Z7" s="22"/>
      <c r="AA7" s="22"/>
      <c r="AB7" s="17"/>
      <c r="AC7" s="17"/>
      <c r="AD7" s="31"/>
    </row>
    <row r="8" spans="1:30" s="8" customFormat="1" ht="15" thickBot="1">
      <c r="A8" s="31" t="str">
        <f ca="1">CONCATENATE("Table ",N8,"b. College Enrollment Rates in the First Fall after High School Graduation for Classes ",A10," and ",A11,", Student-Weighted Totals")</f>
        <v>Table 1b. College Enrollment Rates in the First Fall after High School Graduation for Classes 2017 and 2018, Student-Weighted Totals</v>
      </c>
      <c r="B8" s="34"/>
      <c r="C8" s="31"/>
      <c r="D8" s="31"/>
      <c r="E8" s="31"/>
      <c r="F8" s="31"/>
      <c r="G8" s="31"/>
      <c r="H8" s="31"/>
      <c r="I8" s="31"/>
      <c r="J8" s="31"/>
      <c r="K8" s="31"/>
      <c r="L8" s="31"/>
      <c r="M8" s="22"/>
      <c r="N8" s="22">
        <f>1+5*($M$1-1)</f>
        <v>1</v>
      </c>
      <c r="O8" s="22"/>
      <c r="P8" s="22"/>
      <c r="Q8" s="22"/>
      <c r="R8" s="3"/>
      <c r="S8" s="22"/>
      <c r="T8" s="22"/>
      <c r="U8" s="22"/>
      <c r="V8" s="22"/>
      <c r="W8" s="22"/>
      <c r="X8" s="22"/>
      <c r="Y8" s="22"/>
      <c r="Z8" s="22"/>
      <c r="AA8" s="22"/>
      <c r="AB8" s="17"/>
      <c r="AC8" s="17"/>
      <c r="AD8" s="31"/>
    </row>
    <row r="9" spans="1:30" s="8" customFormat="1" ht="29.45" thickBot="1">
      <c r="A9" s="10"/>
      <c r="B9" s="19" t="s">
        <v>40</v>
      </c>
      <c r="C9" s="11" t="s">
        <v>41</v>
      </c>
      <c r="D9" s="11" t="s">
        <v>42</v>
      </c>
      <c r="E9" s="11" t="s">
        <v>43</v>
      </c>
      <c r="F9" s="11" t="s">
        <v>44</v>
      </c>
      <c r="G9" s="11" t="s">
        <v>45</v>
      </c>
      <c r="H9" s="11" t="s">
        <v>46</v>
      </c>
      <c r="I9" s="11" t="s">
        <v>47</v>
      </c>
      <c r="J9" s="7"/>
      <c r="K9" s="7"/>
      <c r="L9" s="7"/>
      <c r="M9" s="22"/>
      <c r="N9" s="23"/>
      <c r="O9" s="22"/>
      <c r="P9" s="22"/>
      <c r="Q9" s="3"/>
      <c r="R9" s="22"/>
      <c r="S9" s="22"/>
      <c r="T9" s="22"/>
      <c r="U9" s="22"/>
      <c r="V9" s="22"/>
      <c r="W9" s="22"/>
      <c r="X9" s="22"/>
      <c r="Y9" s="22"/>
      <c r="Z9" s="22"/>
      <c r="AA9" s="22"/>
      <c r="AB9" s="17"/>
      <c r="AC9" s="17"/>
      <c r="AD9" s="31"/>
    </row>
    <row r="10" spans="1:30" ht="15" thickBot="1">
      <c r="A10" s="12">
        <f ca="1">INDIRECT(CONCATENATE("'All DATA'!",O$1,$N10))</f>
        <v>2017</v>
      </c>
      <c r="B10" s="13">
        <f t="shared" ref="B10:B11" ca="1" si="2">INDIRECT(CONCATENATE("'All DATA'!",P$1,$N10))</f>
        <v>188222</v>
      </c>
      <c r="C10" s="14">
        <f ca="1">IF(ISBLANK(INDIRECT(CONCATENATE("'All DATA'!",Q$1,$N10))),"*",INDIRECT(CONCATENATE("'All DATA'!",Q$1,$N10)))</f>
        <v>0.55658743398752542</v>
      </c>
      <c r="D10" s="14">
        <f t="shared" ref="D10:D11" ca="1" si="3">IF(ISBLANK(INDIRECT(CONCATENATE("'All DATA'!",R$1,$N10))),"*",INDIRECT(CONCATENATE("'All DATA'!",R$1,$N10)))</f>
        <v>0.49775265378117328</v>
      </c>
      <c r="E10" s="14">
        <f t="shared" ref="E10:E11" ca="1" si="4">IF(ISBLANK(INDIRECT(CONCATENATE("'All DATA'!",S$1,$N10))),"*",INDIRECT(CONCATENATE("'All DATA'!",S$1,$N10)))</f>
        <v>5.8834780206352071E-2</v>
      </c>
      <c r="F10" s="14">
        <f t="shared" ref="F10:F11" ca="1" si="5">IF(ISBLANK(INDIRECT(CONCATENATE("'All DATA'!",T$1,$N10))),"*",INDIRECT(CONCATENATE("'All DATA'!",T$1,$N10)))</f>
        <v>0.25482674713901671</v>
      </c>
      <c r="G10" s="14">
        <f t="shared" ref="G10:G11" ca="1" si="6">IF(ISBLANK(INDIRECT(CONCATENATE("'All DATA'!",U$1,$N10))),"*",INDIRECT(CONCATENATE("'All DATA'!",U$1,$N10)))</f>
        <v>0.30176068684850865</v>
      </c>
      <c r="H10" s="14">
        <f t="shared" ref="H10:H11" ca="1" si="7">IF(ISBLANK(INDIRECT(CONCATENATE("'All DATA'!",V$1,$N10))),"*",INDIRECT(CONCATENATE("'All DATA'!",V$1,$N10)))</f>
        <v>0.51621489517697183</v>
      </c>
      <c r="I10" s="14">
        <f t="shared" ref="I10:I11" ca="1" si="8">IF(ISBLANK(INDIRECT(CONCATENATE("'All DATA'!",W$1,$N10))),"*",INDIRECT(CONCATENATE("'All DATA'!",W$1,$N10)))</f>
        <v>4.0372538810553499E-2</v>
      </c>
      <c r="J10" s="31"/>
      <c r="K10" s="31"/>
      <c r="L10" s="31"/>
      <c r="N10" s="22">
        <f>2+8*($M$1-1)</f>
        <v>2</v>
      </c>
      <c r="AD10" s="31"/>
    </row>
    <row r="11" spans="1:30" s="2" customFormat="1" ht="15" thickBot="1">
      <c r="A11" s="12">
        <f ca="1">INDIRECT(CONCATENATE("'All DATA'!",O$1,$N11))</f>
        <v>2018</v>
      </c>
      <c r="B11" s="13">
        <f t="shared" ca="1" si="2"/>
        <v>175171</v>
      </c>
      <c r="C11" s="14">
        <f ca="1">IF(ISBLANK(INDIRECT(CONCATENATE("'All DATA'!",Q$1,$N11))),"*",INDIRECT(CONCATENATE("'All DATA'!",Q$1,$N11)))</f>
        <v>0.53870789114636553</v>
      </c>
      <c r="D11" s="14">
        <f t="shared" ca="1" si="3"/>
        <v>0.48372162058788271</v>
      </c>
      <c r="E11" s="14">
        <f t="shared" ca="1" si="4"/>
        <v>5.4986270558482854E-2</v>
      </c>
      <c r="F11" s="14">
        <f t="shared" ca="1" si="5"/>
        <v>0.24985300078209294</v>
      </c>
      <c r="G11" s="14">
        <f t="shared" ca="1" si="6"/>
        <v>0.28885489036427264</v>
      </c>
      <c r="H11" s="14">
        <f t="shared" ca="1" si="7"/>
        <v>0.50101900428723933</v>
      </c>
      <c r="I11" s="14">
        <f t="shared" ca="1" si="8"/>
        <v>3.7688886859126226E-2</v>
      </c>
      <c r="J11" s="31"/>
      <c r="K11" s="31"/>
      <c r="L11" s="31"/>
      <c r="M11" s="22"/>
      <c r="N11" s="22">
        <f>3+8*($M$1-1)</f>
        <v>3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  <c r="AD11" s="7"/>
    </row>
    <row r="12" spans="1:30" s="1" customFormat="1">
      <c r="A12" s="31"/>
      <c r="B12" s="34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22"/>
      <c r="N12" s="22"/>
      <c r="O12" s="22"/>
      <c r="P12" s="22"/>
      <c r="Q12" s="22"/>
      <c r="R12" s="22"/>
      <c r="S12" s="3"/>
      <c r="T12" s="22"/>
      <c r="U12" s="22"/>
      <c r="V12" s="22"/>
      <c r="W12" s="22"/>
      <c r="X12" s="22"/>
      <c r="Y12" s="22"/>
      <c r="Z12" s="22"/>
      <c r="AA12" s="22"/>
      <c r="AB12" s="17"/>
      <c r="AC12" s="17"/>
      <c r="AD12" s="31"/>
    </row>
    <row r="13" spans="1:30" s="1" customFormat="1">
      <c r="A13" s="31"/>
      <c r="B13" s="3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22"/>
      <c r="N13" s="22"/>
      <c r="O13" s="22"/>
      <c r="P13" s="22"/>
      <c r="Q13" s="22"/>
      <c r="R13" s="3"/>
      <c r="S13" s="22"/>
      <c r="T13" s="22"/>
      <c r="U13" s="22"/>
      <c r="V13" s="22"/>
      <c r="W13" s="22"/>
      <c r="X13" s="22"/>
      <c r="Y13" s="22"/>
      <c r="Z13" s="22"/>
      <c r="AA13" s="22"/>
      <c r="AB13" s="17"/>
      <c r="AC13" s="17"/>
      <c r="AD13" s="31"/>
    </row>
    <row r="14" spans="1:30">
      <c r="A14" s="31" t="str">
        <f ca="1">CONCATENATE("Figure ", RIGHT(A8,LEN(A8)-6))</f>
        <v>Figure 1b. College Enrollment Rates in the First Fall after High School Graduation for Classes 2017 and 2018, Student-Weighted Totals</v>
      </c>
      <c r="B14" s="34"/>
      <c r="C14" s="31"/>
      <c r="D14" s="31"/>
      <c r="E14" s="31"/>
      <c r="F14" s="31"/>
      <c r="G14" s="31"/>
      <c r="H14" s="31"/>
      <c r="I14" s="31"/>
      <c r="J14" s="31"/>
      <c r="K14" s="31"/>
      <c r="L14" s="31"/>
      <c r="Q14" s="22"/>
      <c r="U14" s="3"/>
      <c r="AD14" s="31"/>
    </row>
    <row r="15" spans="1:30">
      <c r="A15" s="31"/>
      <c r="B15" s="34"/>
      <c r="C15" s="31"/>
      <c r="D15" s="31"/>
      <c r="E15" s="31"/>
      <c r="F15" s="31"/>
      <c r="G15" s="31"/>
      <c r="H15" s="31"/>
      <c r="I15" s="31"/>
      <c r="J15" s="31"/>
      <c r="K15" s="31"/>
      <c r="L15" s="31"/>
      <c r="Q15" s="22"/>
      <c r="X15" s="3"/>
      <c r="AD15" s="31"/>
    </row>
    <row r="34" spans="1:29" s="16" customFormat="1">
      <c r="A34" s="31"/>
      <c r="B34" s="34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22"/>
      <c r="N34" s="22"/>
      <c r="O34" s="22"/>
      <c r="P34" s="22"/>
      <c r="Q34" s="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17"/>
      <c r="AC34" s="17"/>
    </row>
    <row r="35" spans="1:29" s="16" customFormat="1" ht="15" thickBot="1">
      <c r="A35" s="9" t="str">
        <f ca="1">CONCATENATE("Table ",N35,"a. College Enrollment Rates in the First Year after High School Graduation for Classes ",A37," and ",A38,", School Percentile Distribution")</f>
        <v>Table 2a. College Enrollment Rates in the First Year after High School Graduation for Classes 2016 and 2017, School Percentile Distribution</v>
      </c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22"/>
      <c r="N35" s="22">
        <f>2+5*($M$1-1)</f>
        <v>2</v>
      </c>
      <c r="O35" s="22"/>
      <c r="P35" s="22"/>
      <c r="Q35" s="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17"/>
      <c r="AC35" s="17"/>
    </row>
    <row r="36" spans="1:29" s="16" customFormat="1" ht="29.45" thickBot="1">
      <c r="A36" s="10"/>
      <c r="B36" s="19" t="s">
        <v>36</v>
      </c>
      <c r="C36" s="11" t="s">
        <v>37</v>
      </c>
      <c r="D36" s="11" t="s">
        <v>38</v>
      </c>
      <c r="E36" s="11" t="s">
        <v>39</v>
      </c>
      <c r="F36" s="31"/>
      <c r="G36" s="31"/>
      <c r="H36" s="31"/>
      <c r="I36" s="31"/>
      <c r="J36" s="31"/>
      <c r="K36" s="31"/>
      <c r="L36" s="31"/>
      <c r="M36" s="22"/>
      <c r="N36" s="22"/>
      <c r="O36" s="22"/>
      <c r="P36" s="22"/>
      <c r="Q36" s="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17"/>
      <c r="AC36" s="17"/>
    </row>
    <row r="37" spans="1:29" s="16" customFormat="1" ht="15" thickBot="1">
      <c r="A37" s="12">
        <f ca="1">INDIRECT(CONCATENATE("'ALL DATA'!",O$1,$N37))</f>
        <v>2016</v>
      </c>
      <c r="B37" s="13">
        <f ca="1">INDIRECT(CONCATENATE("'ALL DATA'!",X$1,$N37))</f>
        <v>936</v>
      </c>
      <c r="C37" s="14">
        <f ca="1">IF(ISBLANK(INDIRECT(CONCATENATE("'ALL DATA'!",Y$1,$N37))),"*",INDIRECT(CONCATENATE("'ALL DATA'!",Y$1,$N37)))</f>
        <v>0.42857142857142855</v>
      </c>
      <c r="D37" s="14">
        <f t="shared" ref="D37:D38" ca="1" si="9">IF(ISBLANK(INDIRECT(CONCATENATE("'ALL DATA'!",Z$1,$N37))),"*",INDIRECT(CONCATENATE("'ALL DATA'!",Z$1,$N37)))</f>
        <v>0.55555555555555558</v>
      </c>
      <c r="E37" s="14">
        <f t="shared" ref="E37:E38" ca="1" si="10">IF(ISBLANK(INDIRECT(CONCATENATE("'ALL DATA'!",AA$1,$N37))),"*",INDIRECT(CONCATENATE("'ALL DATA'!",AA$1,$N37)))</f>
        <v>0.68096285434995107</v>
      </c>
      <c r="F37" s="31"/>
      <c r="G37" s="31"/>
      <c r="H37" s="31"/>
      <c r="I37" s="31"/>
      <c r="J37" s="31"/>
      <c r="K37" s="31"/>
      <c r="L37" s="31"/>
      <c r="M37" s="22"/>
      <c r="N37" s="22">
        <f>4+8*($M$1-1)</f>
        <v>4</v>
      </c>
      <c r="O37" s="22"/>
      <c r="P37" s="22"/>
      <c r="Q37" s="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17"/>
      <c r="AC37" s="17"/>
    </row>
    <row r="38" spans="1:29" s="16" customFormat="1" ht="15" thickBot="1">
      <c r="A38" s="12">
        <f ca="1">INDIRECT(CONCATENATE("'ALL DATA'!",O$1,$N38))</f>
        <v>2017</v>
      </c>
      <c r="B38" s="13">
        <f ca="1">INDIRECT(CONCATENATE("'ALL DATA'!",X$1,$N38))</f>
        <v>890</v>
      </c>
      <c r="C38" s="14">
        <f ca="1">IF(ISBLANK(INDIRECT(CONCATENATE("'ALL DATA'!",Y$1,$N38))),"*",INDIRECT(CONCATENATE("'ALL DATA'!",Y$1,$N38)))</f>
        <v>0.44495412844036697</v>
      </c>
      <c r="D38" s="14">
        <f t="shared" ca="1" si="9"/>
        <v>0.58662942271880825</v>
      </c>
      <c r="E38" s="14">
        <f t="shared" ca="1" si="10"/>
        <v>0.70646766169154229</v>
      </c>
      <c r="F38" s="31"/>
      <c r="G38" s="31"/>
      <c r="H38" s="31"/>
      <c r="I38" s="31"/>
      <c r="J38" s="31"/>
      <c r="K38" s="31"/>
      <c r="L38" s="31"/>
      <c r="M38" s="22"/>
      <c r="N38" s="22">
        <f>5+8*($M$1-1)</f>
        <v>5</v>
      </c>
      <c r="O38" s="22"/>
      <c r="P38" s="22"/>
      <c r="Q38" s="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17"/>
      <c r="AC38" s="17"/>
    </row>
    <row r="39" spans="1:29" s="16" customFormat="1">
      <c r="A39" s="31"/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22"/>
      <c r="N39" s="22"/>
      <c r="O39" s="22"/>
      <c r="P39" s="22"/>
      <c r="Q39" s="3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17"/>
      <c r="AC39" s="17"/>
    </row>
    <row r="40" spans="1:29" s="16" customFormat="1">
      <c r="A40" s="31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22"/>
      <c r="N40" s="22"/>
      <c r="O40" s="22"/>
      <c r="P40" s="22"/>
      <c r="Q40" s="3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17"/>
      <c r="AC40" s="17"/>
    </row>
    <row r="41" spans="1:29" ht="15" thickBot="1">
      <c r="A41" s="9" t="str">
        <f ca="1">CONCATENATE("Table ",N41,"b. College Enrollment Rates in the First Year after High School Graduation for Classes ",A43," and ",A44,", Student-Weighted Totals")</f>
        <v>Table 2b. College Enrollment Rates in the First Year after High School Graduation for Classes 2016 and 2017, Student-Weighted Totals</v>
      </c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1"/>
      <c r="N41" s="22">
        <f>2+5*($M$1-1)</f>
        <v>2</v>
      </c>
    </row>
    <row r="42" spans="1:29" s="8" customFormat="1" ht="29.45" thickBot="1">
      <c r="A42" s="10"/>
      <c r="B42" s="19" t="s">
        <v>40</v>
      </c>
      <c r="C42" s="11" t="s">
        <v>41</v>
      </c>
      <c r="D42" s="11" t="s">
        <v>42</v>
      </c>
      <c r="E42" s="11" t="s">
        <v>43</v>
      </c>
      <c r="F42" s="11" t="s">
        <v>44</v>
      </c>
      <c r="G42" s="11" t="s">
        <v>45</v>
      </c>
      <c r="H42" s="11" t="s">
        <v>46</v>
      </c>
      <c r="I42" s="11" t="s">
        <v>47</v>
      </c>
      <c r="J42" s="7"/>
      <c r="K42" s="31"/>
      <c r="L42" s="31"/>
      <c r="M42" s="22"/>
      <c r="N42" s="22"/>
      <c r="O42" s="22"/>
      <c r="P42" s="22"/>
      <c r="Q42" s="3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17"/>
      <c r="AC42" s="17"/>
    </row>
    <row r="43" spans="1:29" ht="15" thickBot="1">
      <c r="A43" s="12">
        <f ca="1">INDIRECT(CONCATENATE("'All DATA'!",O$1,$N43))</f>
        <v>2016</v>
      </c>
      <c r="B43" s="13">
        <f t="shared" ref="B43:B44" ca="1" si="11">INDIRECT(CONCATENATE("'All DATA'!",P$1,$N43))</f>
        <v>187972</v>
      </c>
      <c r="C43" s="14">
        <f ca="1">IF(ISBLANK(INDIRECT(CONCATENATE("'All DATA'!",Q$1,$N43))),"*",INDIRECT(CONCATENATE("'All DATA'!",Q$1,$N43)))</f>
        <v>0.59146575021811765</v>
      </c>
      <c r="D43" s="14">
        <f t="shared" ref="D43:D44" ca="1" si="12">IF(ISBLANK(INDIRECT(CONCATENATE("'All DATA'!",R$1,$N43))),"*",INDIRECT(CONCATENATE("'All DATA'!",R$1,$N43)))</f>
        <v>0.52945651480007661</v>
      </c>
      <c r="E43" s="14">
        <f t="shared" ref="E43:E44" ca="1" si="13">IF(ISBLANK(INDIRECT(CONCATENATE("'All DATA'!",S$1,$N43))),"*",INDIRECT(CONCATENATE("'All DATA'!",S$1,$N43)))</f>
        <v>6.2009235418040987E-2</v>
      </c>
      <c r="F43" s="14">
        <f t="shared" ref="F43:F44" ca="1" si="14">IF(ISBLANK(INDIRECT(CONCATENATE("'All DATA'!",T$1,$N43))),"*",INDIRECT(CONCATENATE("'All DATA'!",T$1,$N43)))</f>
        <v>0.28525525078203134</v>
      </c>
      <c r="G43" s="14">
        <f t="shared" ref="G43:G44" ca="1" si="15">IF(ISBLANK(INDIRECT(CONCATENATE("'All DATA'!",U$1,$N43))),"*",INDIRECT(CONCATENATE("'All DATA'!",U$1,$N43)))</f>
        <v>0.30621049943608625</v>
      </c>
      <c r="H43" s="14">
        <f t="shared" ref="H43:H44" ca="1" si="16">IF(ISBLANK(INDIRECT(CONCATENATE("'All DATA'!",V$1,$N43))),"*",INDIRECT(CONCATENATE("'All DATA'!",V$1,$N43)))</f>
        <v>0.5459057732002639</v>
      </c>
      <c r="I43" s="14">
        <f t="shared" ref="I43:I44" ca="1" si="17">IF(ISBLANK(INDIRECT(CONCATENATE("'All DATA'!",W$1,$N43))),"*",INDIRECT(CONCATENATE("'All DATA'!",W$1,$N43)))</f>
        <v>4.555997701785372E-2</v>
      </c>
      <c r="J43" s="31"/>
      <c r="K43" s="31"/>
      <c r="L43" s="31"/>
      <c r="N43" s="22">
        <f>4+8*($M$1-1)</f>
        <v>4</v>
      </c>
    </row>
    <row r="44" spans="1:29" ht="15" thickBot="1">
      <c r="A44" s="12">
        <f ca="1">INDIRECT(CONCATENATE("'All DATA'!",O$1,$N44))</f>
        <v>2017</v>
      </c>
      <c r="B44" s="13">
        <f t="shared" ca="1" si="11"/>
        <v>188222</v>
      </c>
      <c r="C44" s="14">
        <f ca="1">IF(ISBLANK(INDIRECT(CONCATENATE("'All DATA'!",Q$1,$N44))),"*",INDIRECT(CONCATENATE("'All DATA'!",Q$1,$N44)))</f>
        <v>0.60450425561305265</v>
      </c>
      <c r="D44" s="14">
        <f t="shared" ca="1" si="12"/>
        <v>0.54078163020263303</v>
      </c>
      <c r="E44" s="14">
        <f t="shared" ca="1" si="13"/>
        <v>6.3722625410419606E-2</v>
      </c>
      <c r="F44" s="14">
        <f t="shared" ca="1" si="14"/>
        <v>0.28510482302812634</v>
      </c>
      <c r="G44" s="14">
        <f t="shared" ca="1" si="15"/>
        <v>0.31939943258492631</v>
      </c>
      <c r="H44" s="14">
        <f t="shared" ca="1" si="16"/>
        <v>0.55995048400293268</v>
      </c>
      <c r="I44" s="14">
        <f t="shared" ca="1" si="17"/>
        <v>4.4553771610119967E-2</v>
      </c>
      <c r="J44" s="31"/>
      <c r="K44" s="31"/>
      <c r="L44" s="31"/>
      <c r="N44" s="22">
        <f>5+8*($M$1-1)</f>
        <v>5</v>
      </c>
    </row>
    <row r="45" spans="1:29">
      <c r="A45" s="31"/>
      <c r="B45" s="34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29">
      <c r="A46" s="31"/>
      <c r="B46" s="34"/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1:29">
      <c r="A47" s="31" t="str">
        <f ca="1">CONCATENATE("Figure ", RIGHT(A41,LEN(A41)-6))</f>
        <v>Figure 2b. College Enrollment Rates in the First Year after High School Graduation for Classes 2016 and 2017, Student-Weighted Totals</v>
      </c>
      <c r="B47" s="34"/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1:29">
      <c r="A48" s="31"/>
      <c r="B48" s="34"/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1:10">
      <c r="A49" s="31"/>
      <c r="B49" s="34"/>
      <c r="C49" s="31"/>
      <c r="D49" s="31"/>
      <c r="E49" s="31"/>
      <c r="F49" s="31"/>
      <c r="G49" s="31"/>
      <c r="H49" s="31"/>
      <c r="I49" s="31"/>
      <c r="J49" s="31"/>
    </row>
    <row r="50" spans="1:10">
      <c r="A50" s="31"/>
      <c r="B50" s="34"/>
      <c r="C50" s="31"/>
      <c r="D50" s="31"/>
      <c r="E50" s="31"/>
      <c r="F50" s="31"/>
      <c r="G50" s="31"/>
      <c r="H50" s="31"/>
      <c r="I50" s="31"/>
      <c r="J50" s="31"/>
    </row>
    <row r="51" spans="1:10">
      <c r="A51" s="31"/>
      <c r="B51" s="34"/>
      <c r="C51" s="31"/>
      <c r="D51" s="31"/>
      <c r="E51" s="31"/>
      <c r="F51" s="31"/>
      <c r="G51" s="31"/>
      <c r="H51" s="31"/>
      <c r="I51" s="31"/>
      <c r="J51" s="31"/>
    </row>
    <row r="52" spans="1:10">
      <c r="A52" s="31"/>
      <c r="B52" s="34"/>
      <c r="C52" s="31"/>
      <c r="D52" s="31"/>
      <c r="E52" s="31"/>
      <c r="F52" s="31"/>
      <c r="G52" s="31"/>
      <c r="H52" s="31"/>
      <c r="I52" s="31"/>
      <c r="J52" s="31"/>
    </row>
    <row r="53" spans="1:10">
      <c r="A53" s="31"/>
      <c r="B53" s="34"/>
      <c r="C53" s="31"/>
      <c r="D53" s="31"/>
      <c r="E53" s="31"/>
      <c r="F53" s="31"/>
      <c r="G53" s="31"/>
      <c r="H53" s="31"/>
      <c r="I53" s="31"/>
      <c r="J53" s="31"/>
    </row>
    <row r="54" spans="1:10">
      <c r="A54" s="31"/>
      <c r="B54" s="34"/>
      <c r="C54" s="31"/>
      <c r="D54" s="31"/>
      <c r="E54" s="31"/>
      <c r="F54" s="31"/>
      <c r="G54" s="31"/>
      <c r="H54" s="31"/>
      <c r="I54" s="31"/>
      <c r="J54" s="31"/>
    </row>
    <row r="55" spans="1:10">
      <c r="A55" s="31"/>
      <c r="B55" s="34"/>
      <c r="C55" s="31"/>
      <c r="D55" s="31"/>
      <c r="E55" s="31"/>
      <c r="F55" s="31"/>
      <c r="G55" s="31"/>
      <c r="H55" s="31"/>
      <c r="I55" s="31"/>
      <c r="J55" s="31"/>
    </row>
    <row r="56" spans="1:10">
      <c r="A56" s="31"/>
      <c r="B56" s="34"/>
      <c r="C56" s="31"/>
      <c r="D56" s="31"/>
      <c r="E56" s="31"/>
      <c r="F56" s="31"/>
      <c r="G56" s="31"/>
      <c r="H56" s="31"/>
      <c r="I56" s="31"/>
      <c r="J56" s="31"/>
    </row>
    <row r="57" spans="1:10">
      <c r="A57" s="31"/>
      <c r="B57" s="34"/>
      <c r="C57" s="31"/>
      <c r="D57" s="31"/>
      <c r="E57" s="31"/>
      <c r="F57" s="31"/>
      <c r="G57" s="31"/>
      <c r="H57" s="31"/>
      <c r="I57" s="31"/>
      <c r="J57" s="31"/>
    </row>
    <row r="58" spans="1:10">
      <c r="A58" s="31"/>
      <c r="B58" s="34"/>
      <c r="C58" s="31"/>
      <c r="D58" s="31"/>
      <c r="E58" s="31"/>
      <c r="F58" s="31"/>
      <c r="G58" s="31"/>
      <c r="H58" s="31"/>
      <c r="I58" s="31"/>
      <c r="J58" s="31"/>
    </row>
    <row r="59" spans="1:10">
      <c r="A59" s="31"/>
      <c r="B59" s="34"/>
      <c r="C59" s="31"/>
      <c r="D59" s="31"/>
      <c r="E59" s="31"/>
      <c r="F59" s="31"/>
      <c r="G59" s="31"/>
      <c r="H59" s="31"/>
      <c r="I59" s="31"/>
      <c r="J59" s="31"/>
    </row>
    <row r="60" spans="1:10">
      <c r="A60" s="31"/>
      <c r="B60" s="34"/>
      <c r="C60" s="31"/>
      <c r="D60" s="31"/>
      <c r="E60" s="31"/>
      <c r="F60" s="31"/>
      <c r="G60" s="31"/>
      <c r="H60" s="31"/>
      <c r="I60" s="31"/>
      <c r="J60" s="31"/>
    </row>
    <row r="61" spans="1:10">
      <c r="A61" s="31"/>
      <c r="B61" s="34"/>
      <c r="C61" s="31"/>
      <c r="D61" s="31"/>
      <c r="E61" s="31"/>
      <c r="F61" s="31"/>
      <c r="G61" s="31"/>
      <c r="H61" s="31"/>
      <c r="I61" s="31"/>
      <c r="J61" s="31"/>
    </row>
    <row r="62" spans="1:10">
      <c r="A62" s="31"/>
      <c r="B62" s="34"/>
      <c r="C62" s="31"/>
      <c r="D62" s="31"/>
      <c r="E62" s="31"/>
      <c r="F62" s="31"/>
      <c r="G62" s="31"/>
      <c r="H62" s="31"/>
      <c r="I62" s="31"/>
      <c r="J62" s="31"/>
    </row>
    <row r="63" spans="1:10">
      <c r="A63" s="31"/>
      <c r="B63" s="34"/>
      <c r="C63" s="31"/>
      <c r="D63" s="31"/>
      <c r="E63" s="31"/>
      <c r="F63" s="31"/>
      <c r="G63" s="31"/>
      <c r="H63" s="31"/>
      <c r="I63" s="31"/>
      <c r="J63" s="31"/>
    </row>
    <row r="64" spans="1:10">
      <c r="A64" s="31"/>
      <c r="B64" s="34"/>
      <c r="C64" s="31"/>
      <c r="D64" s="31"/>
      <c r="E64" s="31"/>
      <c r="F64" s="31"/>
      <c r="G64" s="31"/>
      <c r="H64" s="31"/>
      <c r="I64" s="31"/>
      <c r="J64" s="31"/>
    </row>
    <row r="65" spans="1:29">
      <c r="A65" s="31"/>
      <c r="B65" s="34"/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1:29">
      <c r="A66" s="31"/>
      <c r="B66" s="34"/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29">
      <c r="A67" s="31"/>
      <c r="B67" s="34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1:29" s="16" customFormat="1" ht="15" thickBot="1">
      <c r="A68" s="9" t="str">
        <f ca="1">CONCATENATE("Table ",N68,"a. College Enrollment Rates in the First Two Years after High School Graduation for Classes ",A70," and ",A71,", School Percentile Distribution")</f>
        <v>Table 3a. College Enrollment Rates in the First Two Years after High School Graduation for Classes 2015 and 2016, School Percentile Distribution</v>
      </c>
      <c r="B68" s="34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22"/>
      <c r="N68" s="22">
        <f>3+5*($M$1-1)</f>
        <v>3</v>
      </c>
      <c r="O68" s="22"/>
      <c r="P68" s="22"/>
      <c r="Q68" s="3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17"/>
      <c r="AC68" s="17"/>
    </row>
    <row r="69" spans="1:29" s="16" customFormat="1" ht="29.45" thickBot="1">
      <c r="A69" s="10"/>
      <c r="B69" s="19" t="s">
        <v>36</v>
      </c>
      <c r="C69" s="11" t="s">
        <v>37</v>
      </c>
      <c r="D69" s="11" t="s">
        <v>38</v>
      </c>
      <c r="E69" s="11" t="s">
        <v>39</v>
      </c>
      <c r="F69" s="31"/>
      <c r="G69" s="31"/>
      <c r="H69" s="31"/>
      <c r="I69" s="31"/>
      <c r="J69" s="31"/>
      <c r="K69" s="31"/>
      <c r="L69" s="31"/>
      <c r="M69" s="22"/>
      <c r="N69" s="22"/>
      <c r="O69" s="22"/>
      <c r="P69" s="22"/>
      <c r="Q69" s="3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17"/>
      <c r="AC69" s="17"/>
    </row>
    <row r="70" spans="1:29" s="16" customFormat="1" ht="15" thickBot="1">
      <c r="A70" s="12">
        <f ca="1">INDIRECT(CONCATENATE("'ALL DATA'!",O$1,$N70))</f>
        <v>2015</v>
      </c>
      <c r="B70" s="13">
        <f ca="1">INDIRECT(CONCATENATE("'ALL DATA'!",X$1,$N70))</f>
        <v>862</v>
      </c>
      <c r="C70" s="14">
        <f ca="1">IF(ISBLANK(INDIRECT(CONCATENATE("'ALL DATA'!",Y$1,$N70))),"*",INDIRECT(CONCATENATE("'ALL DATA'!",Y$1,$N70)))</f>
        <v>0.46846846846846846</v>
      </c>
      <c r="D70" s="14">
        <f t="shared" ref="D70" ca="1" si="18">IF(ISBLANK(INDIRECT(CONCATENATE("'ALL DATA'!",Z$1,$N70))),"*",INDIRECT(CONCATENATE("'ALL DATA'!",Z$1,$N70)))</f>
        <v>0.60865175520347936</v>
      </c>
      <c r="E70" s="14">
        <f t="shared" ref="E70" ca="1" si="19">IF(ISBLANK(INDIRECT(CONCATENATE("'ALL DATA'!",AA$1,$N70))),"*",INDIRECT(CONCATENATE("'ALL DATA'!",AA$1,$N70)))</f>
        <v>0.72894736842105268</v>
      </c>
      <c r="F70" s="31"/>
      <c r="G70" s="31"/>
      <c r="H70" s="31"/>
      <c r="I70" s="31"/>
      <c r="J70" s="31"/>
      <c r="K70" s="31"/>
      <c r="L70" s="31"/>
      <c r="M70" s="22"/>
      <c r="N70" s="22">
        <f>6+8*($M$1-1)</f>
        <v>6</v>
      </c>
      <c r="O70" s="22"/>
      <c r="P70" s="22"/>
      <c r="Q70" s="3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17"/>
      <c r="AC70" s="17"/>
    </row>
    <row r="71" spans="1:29" s="16" customFormat="1" ht="15" thickBot="1">
      <c r="A71" s="12">
        <f ca="1">INDIRECT(CONCATENATE("'ALL DATA'!",O$1,$N71))</f>
        <v>2016</v>
      </c>
      <c r="B71" s="13">
        <f ca="1">INDIRECT(CONCATENATE("'ALL DATA'!",X$1,$N71))</f>
        <v>936</v>
      </c>
      <c r="C71" s="14">
        <f ca="1">IF(ISBLANK(INDIRECT(CONCATENATE("'ALL DATA'!",Y$1,$N71))),"*",INDIRECT(CONCATENATE("'ALL DATA'!",Y$1,$N71)))</f>
        <v>0.47440153765507598</v>
      </c>
      <c r="D71" s="14">
        <f t="shared" ref="D71" ca="1" si="20">IF(ISBLANK(INDIRECT(CONCATENATE("'ALL DATA'!",Z$1,$N71))),"*",INDIRECT(CONCATENATE("'ALL DATA'!",Z$1,$N71)))</f>
        <v>0.6074929971988795</v>
      </c>
      <c r="E71" s="14">
        <f t="shared" ref="E71" ca="1" si="21">IF(ISBLANK(INDIRECT(CONCATENATE("'ALL DATA'!",AA$1,$N71))),"*",INDIRECT(CONCATENATE("'ALL DATA'!",AA$1,$N71)))</f>
        <v>0.72483073594807901</v>
      </c>
      <c r="F71" s="31"/>
      <c r="G71" s="31"/>
      <c r="H71" s="31"/>
      <c r="I71" s="31"/>
      <c r="J71" s="31"/>
      <c r="K71" s="31"/>
      <c r="L71" s="31"/>
      <c r="M71" s="22"/>
      <c r="N71" s="22">
        <f>7+8*($M$1-1)</f>
        <v>7</v>
      </c>
      <c r="O71" s="22"/>
      <c r="P71" s="22"/>
      <c r="Q71" s="3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17"/>
      <c r="AC71" s="17"/>
    </row>
    <row r="72" spans="1:29" s="16" customFormat="1">
      <c r="A72" s="31"/>
      <c r="B72" s="34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22"/>
      <c r="N72" s="22"/>
      <c r="O72" s="22"/>
      <c r="P72" s="22"/>
      <c r="Q72" s="3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17"/>
      <c r="AC72" s="17"/>
    </row>
    <row r="73" spans="1:29" s="16" customFormat="1">
      <c r="A73" s="31"/>
      <c r="B73" s="3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22"/>
      <c r="N73" s="22"/>
      <c r="O73" s="22"/>
      <c r="P73" s="22"/>
      <c r="Q73" s="3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17"/>
      <c r="AC73" s="17"/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3b. College Enrollment Rates in the First Two Years after High School Graduation for Classes 2015 and 2016, Student-Weighted Totals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N74" s="22">
        <f>3+5*($M$1-1)</f>
        <v>3</v>
      </c>
    </row>
    <row r="75" spans="1:29" s="8" customFormat="1" ht="29.45" thickBot="1">
      <c r="A75" s="10"/>
      <c r="B75" s="19" t="s">
        <v>40</v>
      </c>
      <c r="C75" s="11" t="s">
        <v>41</v>
      </c>
      <c r="D75" s="11" t="s">
        <v>42</v>
      </c>
      <c r="E75" s="11" t="s">
        <v>43</v>
      </c>
      <c r="F75" s="11" t="s">
        <v>44</v>
      </c>
      <c r="G75" s="11" t="s">
        <v>45</v>
      </c>
      <c r="H75" s="11" t="s">
        <v>46</v>
      </c>
      <c r="I75" s="11" t="s">
        <v>47</v>
      </c>
      <c r="J75" s="7"/>
      <c r="K75" s="7"/>
      <c r="L75" s="7"/>
      <c r="M75" s="22"/>
      <c r="N75" s="23"/>
      <c r="O75" s="22"/>
      <c r="P75" s="22"/>
      <c r="Q75" s="3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17"/>
      <c r="AC75" s="17"/>
    </row>
    <row r="76" spans="1:29" s="16" customFormat="1" ht="15" thickBot="1">
      <c r="A76" s="12">
        <f ca="1">INDIRECT(CONCATENATE("'All DATA'!",O$1,$N76))</f>
        <v>2015</v>
      </c>
      <c r="B76" s="13">
        <f t="shared" ref="B76:B77" ca="1" si="22">INDIRECT(CONCATENATE("'All DATA'!",P$1,$N76))</f>
        <v>167775</v>
      </c>
      <c r="C76" s="14">
        <f ca="1">IF(ISBLANK(INDIRECT(CONCATENATE("'All DATA'!",Q$1,$N76))),"*",INDIRECT(CONCATENATE("'All DATA'!",Q$1,$N76)))</f>
        <v>0.64677097302935482</v>
      </c>
      <c r="D76" s="14">
        <f t="shared" ref="D76:D77" ca="1" si="23">IF(ISBLANK(INDIRECT(CONCATENATE("'All DATA'!",R$1,$N76))),"*",INDIRECT(CONCATENATE("'All DATA'!",R$1,$N76)))</f>
        <v>0.57904932200864256</v>
      </c>
      <c r="E76" s="14">
        <f t="shared" ref="E76:E77" ca="1" si="24">IF(ISBLANK(INDIRECT(CONCATENATE("'All DATA'!",S$1,$N76))),"*",INDIRECT(CONCATENATE("'All DATA'!",S$1,$N76)))</f>
        <v>6.7721651020712259E-2</v>
      </c>
      <c r="F76" s="14">
        <f t="shared" ref="F76:F77" ca="1" si="25">IF(ISBLANK(INDIRECT(CONCATENATE("'All DATA'!",T$1,$N76))),"*",INDIRECT(CONCATENATE("'All DATA'!",T$1,$N76)))</f>
        <v>0.33246312025033525</v>
      </c>
      <c r="G76" s="14">
        <f t="shared" ref="G76:G77" ca="1" si="26">IF(ISBLANK(INDIRECT(CONCATENATE("'All DATA'!",U$1,$N76))),"*",INDIRECT(CONCATENATE("'All DATA'!",U$1,$N76)))</f>
        <v>0.31430785277901951</v>
      </c>
      <c r="H76" s="14">
        <f t="shared" ref="H76:H77" ca="1" si="27">IF(ISBLANK(INDIRECT(CONCATENATE("'All DATA'!",V$1,$N76))),"*",INDIRECT(CONCATENATE("'All DATA'!",V$1,$N76)))</f>
        <v>0.59151244225897781</v>
      </c>
      <c r="I76" s="14">
        <f t="shared" ref="I76:I77" ca="1" si="28">IF(ISBLANK(INDIRECT(CONCATENATE("'All DATA'!",W$1,$N76))),"*",INDIRECT(CONCATENATE("'All DATA'!",W$1,$N76)))</f>
        <v>5.5258530770376992E-2</v>
      </c>
      <c r="J76" s="31"/>
      <c r="K76" s="3"/>
      <c r="L76" s="3"/>
      <c r="M76" s="22"/>
      <c r="N76" s="22">
        <f>6+8*($M$1-1)</f>
        <v>6</v>
      </c>
      <c r="O76" s="22"/>
      <c r="P76" s="22"/>
      <c r="Q76" s="3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17"/>
      <c r="AC76" s="17"/>
    </row>
    <row r="77" spans="1:29" s="8" customFormat="1" ht="15" thickBot="1">
      <c r="A77" s="12">
        <f ca="1">INDIRECT(CONCATENATE("'All DATA'!",O$1,$N77))</f>
        <v>2016</v>
      </c>
      <c r="B77" s="13">
        <f t="shared" ca="1" si="22"/>
        <v>187972</v>
      </c>
      <c r="C77" s="14">
        <f ca="1">IF(ISBLANK(INDIRECT(CONCATENATE("'All DATA'!",Q$1,$N77))),"*",INDIRECT(CONCATENATE("'All DATA'!",Q$1,$N77)))</f>
        <v>0.63621709616325839</v>
      </c>
      <c r="D77" s="14">
        <f t="shared" ca="1" si="23"/>
        <v>0.5696912306088141</v>
      </c>
      <c r="E77" s="14">
        <f t="shared" ca="1" si="24"/>
        <v>6.6525865554444286E-2</v>
      </c>
      <c r="F77" s="14">
        <f t="shared" ca="1" si="25"/>
        <v>0.31671738344008682</v>
      </c>
      <c r="G77" s="14">
        <f t="shared" ca="1" si="26"/>
        <v>0.31949971272317151</v>
      </c>
      <c r="H77" s="14">
        <f t="shared" ca="1" si="27"/>
        <v>0.58507650075543161</v>
      </c>
      <c r="I77" s="14">
        <f t="shared" ca="1" si="28"/>
        <v>5.11405954078267E-2</v>
      </c>
      <c r="J77" s="31"/>
      <c r="K77" s="3"/>
      <c r="L77" s="3"/>
      <c r="M77" s="22"/>
      <c r="N77" s="22">
        <f>7+8*($M$1-1)</f>
        <v>7</v>
      </c>
      <c r="O77" s="22"/>
      <c r="P77" s="22"/>
      <c r="Q77" s="3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17"/>
      <c r="AC77" s="17"/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31"/>
      <c r="L78" s="31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 s="8" customFormat="1">
      <c r="A79" s="31"/>
      <c r="B79" s="34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22"/>
      <c r="N79" s="3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17"/>
      <c r="AC79" s="17"/>
    </row>
    <row r="80" spans="1:29" s="8" customFormat="1">
      <c r="A80" s="31" t="str">
        <f ca="1">CONCATENATE("Figure ", RIGHT(A74,LEN(A74)-6))</f>
        <v>Figure 3b. College Enrollment Rates in the First Two Years after High School Graduation for Classes 2015 and 2016, Student-Weighted Totals</v>
      </c>
      <c r="B80" s="34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17"/>
      <c r="AC80" s="17"/>
    </row>
    <row r="81" spans="2:29" s="8" customFormat="1"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17"/>
      <c r="AC81" s="17"/>
    </row>
    <row r="82" spans="2:29" s="8" customFormat="1"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22"/>
      <c r="N82" s="22"/>
      <c r="O82" s="22"/>
      <c r="P82" s="22"/>
      <c r="Q82" s="3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17"/>
      <c r="AC82" s="17"/>
    </row>
    <row r="83" spans="2:29" s="8" customFormat="1"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22"/>
      <c r="N83" s="22"/>
      <c r="O83" s="22"/>
      <c r="P83" s="22"/>
      <c r="Q83" s="3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17"/>
      <c r="AC83" s="17"/>
    </row>
    <row r="84" spans="2:29" s="8" customFormat="1">
      <c r="B84" s="34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22"/>
      <c r="N84" s="22"/>
      <c r="O84" s="22"/>
      <c r="P84" s="22"/>
      <c r="Q84" s="3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17"/>
      <c r="AC84" s="17"/>
    </row>
    <row r="85" spans="2:29" s="8" customFormat="1">
      <c r="B85" s="34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22"/>
      <c r="N85" s="22"/>
      <c r="O85" s="22"/>
      <c r="P85" s="22"/>
      <c r="Q85" s="3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17"/>
      <c r="AC85" s="17"/>
    </row>
    <row r="86" spans="2:29" s="8" customFormat="1">
      <c r="B86" s="34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22"/>
      <c r="N86" s="22"/>
      <c r="O86" s="22"/>
      <c r="P86" s="22"/>
      <c r="Q86" s="3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17"/>
      <c r="AC86" s="17"/>
    </row>
    <row r="87" spans="2:29" s="8" customFormat="1">
      <c r="B87" s="34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22"/>
      <c r="N87" s="22"/>
      <c r="O87" s="22"/>
      <c r="P87" s="22"/>
      <c r="Q87" s="3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17"/>
      <c r="AC87" s="17"/>
    </row>
    <row r="88" spans="2:29" s="8" customFormat="1">
      <c r="B88" s="34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22"/>
      <c r="N88" s="22"/>
      <c r="O88" s="22"/>
      <c r="P88" s="22"/>
      <c r="Q88" s="3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17"/>
      <c r="AC88" s="17"/>
    </row>
    <row r="89" spans="2:29" s="8" customFormat="1">
      <c r="B89" s="34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22"/>
      <c r="N89" s="22"/>
      <c r="O89" s="22"/>
      <c r="P89" s="22"/>
      <c r="Q89" s="3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17"/>
      <c r="AC89" s="17"/>
    </row>
    <row r="90" spans="2:29" s="8" customFormat="1">
      <c r="B90" s="34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22"/>
      <c r="N90" s="22"/>
      <c r="O90" s="22"/>
      <c r="P90" s="22"/>
      <c r="Q90" s="3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17"/>
      <c r="AC90" s="17"/>
    </row>
    <row r="91" spans="2:29" s="8" customFormat="1">
      <c r="B91" s="34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22"/>
      <c r="N91" s="22"/>
      <c r="O91" s="22"/>
      <c r="P91" s="22"/>
      <c r="Q91" s="3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17"/>
      <c r="AC91" s="17"/>
    </row>
    <row r="92" spans="2:29" s="8" customFormat="1">
      <c r="B92" s="34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22"/>
      <c r="N92" s="22"/>
      <c r="O92" s="22"/>
      <c r="P92" s="22"/>
      <c r="Q92" s="3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17"/>
      <c r="AC92" s="17"/>
    </row>
    <row r="93" spans="2:29" s="8" customFormat="1">
      <c r="B93" s="34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22"/>
      <c r="N93" s="22"/>
      <c r="O93" s="22"/>
      <c r="P93" s="22"/>
      <c r="Q93" s="3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17"/>
      <c r="AC93" s="17"/>
    </row>
    <row r="94" spans="2:29" s="8" customFormat="1">
      <c r="B94" s="34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22"/>
      <c r="N94" s="22"/>
      <c r="O94" s="22"/>
      <c r="P94" s="22"/>
      <c r="Q94" s="3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17"/>
      <c r="AC94" s="17"/>
    </row>
    <row r="95" spans="2:29" s="8" customFormat="1">
      <c r="B95" s="34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22"/>
      <c r="N95" s="22"/>
      <c r="O95" s="22"/>
      <c r="P95" s="22"/>
      <c r="Q95" s="3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17"/>
      <c r="AC95" s="17"/>
    </row>
    <row r="96" spans="2:29" s="8" customFormat="1">
      <c r="B96" s="34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22"/>
      <c r="N96" s="22"/>
      <c r="O96" s="22"/>
      <c r="P96" s="22"/>
      <c r="Q96" s="3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17"/>
      <c r="AC96" s="17"/>
    </row>
    <row r="97" spans="1:29" s="8" customFormat="1">
      <c r="A97" s="31"/>
      <c r="B97" s="34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22"/>
      <c r="N97" s="22"/>
      <c r="O97" s="22"/>
      <c r="P97" s="22"/>
      <c r="Q97" s="3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17"/>
      <c r="AC97" s="17"/>
    </row>
    <row r="98" spans="1:29" s="8" customFormat="1">
      <c r="A98" s="31"/>
      <c r="B98" s="34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22"/>
      <c r="N98" s="22"/>
      <c r="O98" s="22"/>
      <c r="P98" s="22"/>
      <c r="Q98" s="3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17"/>
      <c r="AC98" s="17"/>
    </row>
    <row r="99" spans="1:29" s="8" customFormat="1">
      <c r="A99" s="31"/>
      <c r="B99" s="34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22"/>
      <c r="N99" s="22"/>
      <c r="O99" s="22"/>
      <c r="P99" s="22"/>
      <c r="Q99" s="3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17"/>
      <c r="AC99" s="17"/>
    </row>
    <row r="100" spans="1:29" s="8" customFormat="1">
      <c r="A100" s="31"/>
      <c r="B100" s="34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22"/>
      <c r="N100" s="22"/>
      <c r="O100" s="22"/>
      <c r="P100" s="22"/>
      <c r="Q100" s="3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17"/>
      <c r="AC100" s="17"/>
    </row>
    <row r="101" spans="1:29" s="16" customFormat="1" ht="15" thickBot="1">
      <c r="A101" s="9" t="str">
        <f ca="1">CONCATENATE("Table ",N101,"a. Persistence Rates from First to Second Year of College for Class of ",A103,", School Percentile Distribution")</f>
        <v>Table 4a. Persistence Rates from First to Second Year of College for Class of 2016, School Percentile Distribution</v>
      </c>
      <c r="B101" s="34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22"/>
      <c r="N101" s="22">
        <f>4+5*($M$1-1)</f>
        <v>4</v>
      </c>
      <c r="O101" s="22"/>
      <c r="P101" s="22"/>
      <c r="Q101" s="3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17"/>
      <c r="AC101" s="17"/>
    </row>
    <row r="102" spans="1:29" s="16" customFormat="1" ht="29.45" thickBot="1">
      <c r="A102" s="10"/>
      <c r="B102" s="19" t="s">
        <v>36</v>
      </c>
      <c r="C102" s="11" t="s">
        <v>37</v>
      </c>
      <c r="D102" s="11" t="s">
        <v>38</v>
      </c>
      <c r="E102" s="11" t="s">
        <v>39</v>
      </c>
      <c r="F102" s="31"/>
      <c r="G102" s="31"/>
      <c r="H102" s="31"/>
      <c r="I102" s="31"/>
      <c r="J102" s="31"/>
      <c r="K102" s="31"/>
      <c r="L102" s="31"/>
      <c r="M102" s="22"/>
      <c r="N102" s="22"/>
      <c r="O102" s="22"/>
      <c r="P102" s="22"/>
      <c r="Q102" s="3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17"/>
      <c r="AC102" s="17"/>
    </row>
    <row r="103" spans="1:29" s="16" customFormat="1" ht="15" thickBot="1">
      <c r="A103" s="12">
        <f ca="1">INDIRECT(CONCATENATE("'ALL DATA'!",O$1,$N103))</f>
        <v>2016</v>
      </c>
      <c r="B103" s="13">
        <f ca="1">INDIRECT(CONCATENATE("'ALL DATA'!",X$1,$N103))</f>
        <v>936</v>
      </c>
      <c r="C103" s="14">
        <f ca="1">IF(ISBLANK(INDIRECT(CONCATENATE("'ALL DATA'!",Y$1,$N103))),"*",INDIRECT(CONCATENATE("'ALL DATA'!",Y$1,$N103)))</f>
        <v>0.64423076923076927</v>
      </c>
      <c r="D103" s="14">
        <f t="shared" ref="D103" ca="1" si="29">IF(ISBLANK(INDIRECT(CONCATENATE("'ALL DATA'!",Z$1,$N103))),"*",INDIRECT(CONCATENATE("'ALL DATA'!",Z$1,$N103)))</f>
        <v>0.74786074745849485</v>
      </c>
      <c r="E103" s="14">
        <f t="shared" ref="E103" ca="1" si="30">IF(ISBLANK(INDIRECT(CONCATENATE("'ALL DATA'!",AA$1,$N103))),"*",INDIRECT(CONCATENATE("'ALL DATA'!",AA$1,$N103)))</f>
        <v>0.80584221748400853</v>
      </c>
      <c r="F103" s="31"/>
      <c r="G103" s="31"/>
      <c r="H103" s="31"/>
      <c r="I103" s="31"/>
      <c r="J103" s="31"/>
      <c r="K103" s="31"/>
      <c r="L103" s="31"/>
      <c r="M103" s="22"/>
      <c r="N103" s="22">
        <f>8+8*($M$1-1)</f>
        <v>8</v>
      </c>
      <c r="O103" s="22"/>
      <c r="P103" s="22"/>
      <c r="Q103" s="3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17"/>
      <c r="AC103" s="17"/>
    </row>
    <row r="106" spans="1:29" ht="15" thickBot="1">
      <c r="A106" s="9" t="str">
        <f ca="1">CONCATENATE("Table ",N106,"b. Persistence Rates from First to Second Year of College for Class of ",A108,", Student-Weighted Totals")</f>
        <v>Table 4b. Persistence Rates from First to Second Year of College for Class of 2016, Student-Weighted Totals</v>
      </c>
      <c r="B106" s="34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N106" s="22">
        <f>4+5*($M$1-1)</f>
        <v>4</v>
      </c>
    </row>
    <row r="107" spans="1:29" s="8" customFormat="1" ht="43.9" thickBot="1">
      <c r="A107" s="10"/>
      <c r="B107" s="19" t="s">
        <v>48</v>
      </c>
      <c r="C107" s="11" t="s">
        <v>41</v>
      </c>
      <c r="D107" s="11" t="s">
        <v>42</v>
      </c>
      <c r="E107" s="11" t="s">
        <v>43</v>
      </c>
      <c r="F107" s="11" t="s">
        <v>44</v>
      </c>
      <c r="G107" s="11" t="s">
        <v>45</v>
      </c>
      <c r="H107" s="11" t="s">
        <v>46</v>
      </c>
      <c r="I107" s="11" t="s">
        <v>47</v>
      </c>
      <c r="J107" s="7"/>
      <c r="K107" s="7"/>
      <c r="L107" s="7"/>
      <c r="M107" s="22"/>
      <c r="N107" s="23"/>
      <c r="O107" s="22"/>
      <c r="P107" s="22"/>
      <c r="Q107" s="3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17"/>
      <c r="AC107" s="17"/>
    </row>
    <row r="108" spans="1:29" s="8" customFormat="1" ht="15" thickBot="1">
      <c r="A108" s="12">
        <f ca="1">INDIRECT(CONCATENATE("'All DATA'!",O$1,$N108))</f>
        <v>2016</v>
      </c>
      <c r="B108" s="13">
        <f t="shared" ref="B108" ca="1" si="31">INDIRECT(CONCATENATE("'All DATA'!",P$1,$N108))</f>
        <v>111179</v>
      </c>
      <c r="C108" s="14">
        <f ca="1">IF(ISBLANK(INDIRECT(CONCATENATE("'All DATA'!",Q$1,$N108))),"*",INDIRECT(CONCATENATE("'All DATA'!",Q$1,$N108)))</f>
        <v>0.76665557344462532</v>
      </c>
      <c r="D108" s="14">
        <f t="shared" ref="D108" ca="1" si="32">IF(ISBLANK(INDIRECT(CONCATENATE("'All DATA'!",R$1,$N108))),"*",INDIRECT(CONCATENATE("'All DATA'!",R$1,$N108)))</f>
        <v>0.76107030535655074</v>
      </c>
      <c r="E108" s="14">
        <f t="shared" ref="E108" ca="1" si="33">IF(ISBLANK(INDIRECT(CONCATENATE("'All DATA'!",S$1,$N108))),"*",INDIRECT(CONCATENATE("'All DATA'!",S$1,$N108)))</f>
        <v>0.81434454358270414</v>
      </c>
      <c r="F108" s="14">
        <f t="shared" ref="F108" ca="1" si="34">IF(ISBLANK(INDIRECT(CONCATENATE("'All DATA'!",T$1,$N108))),"*",INDIRECT(CONCATENATE("'All DATA'!",T$1,$N108)))</f>
        <v>0.68509884371503171</v>
      </c>
      <c r="G108" s="14">
        <f t="shared" ref="G108" ca="1" si="35">IF(ISBLANK(INDIRECT(CONCATENATE("'All DATA'!",U$1,$N108))),"*",INDIRECT(CONCATENATE("'All DATA'!",U$1,$N108)))</f>
        <v>0.84263103945516771</v>
      </c>
      <c r="H108" s="14">
        <f t="shared" ref="H108" ca="1" si="36">IF(ISBLANK(INDIRECT(CONCATENATE("'All DATA'!",V$1,$N108))),"*",INDIRECT(CONCATENATE("'All DATA'!",V$1,$N108)))</f>
        <v>0.76554110022901134</v>
      </c>
      <c r="I108" s="14">
        <f t="shared" ref="I108" ca="1" si="37">IF(ISBLANK(INDIRECT(CONCATENATE("'All DATA'!",W$1,$N108))),"*",INDIRECT(CONCATENATE("'All DATA'!",W$1,$N108)))</f>
        <v>0.78000934142923872</v>
      </c>
      <c r="J108" s="31"/>
      <c r="K108" s="3"/>
      <c r="L108" s="3"/>
      <c r="M108" s="22"/>
      <c r="N108" s="22">
        <f>8+8*($M$1-1)</f>
        <v>8</v>
      </c>
      <c r="O108" s="22"/>
      <c r="P108" s="22"/>
      <c r="Q108" s="3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17"/>
      <c r="AC108" s="17"/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31"/>
      <c r="L109" s="31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 s="8" customFormat="1">
      <c r="A110" s="31"/>
      <c r="B110" s="34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22"/>
      <c r="N110" s="3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17"/>
      <c r="AC110" s="17"/>
    </row>
    <row r="111" spans="1:29" s="8" customFormat="1">
      <c r="A111" s="31" t="str">
        <f ca="1">CONCATENATE("Figure ", RIGHT(A106,LEN(A106)-6))</f>
        <v>Figure 4b. Persistence Rates from First to Second Year of College for Class of 2016, Student-Weighted Totals</v>
      </c>
      <c r="B111" s="34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17"/>
      <c r="AC111" s="17"/>
    </row>
    <row r="112" spans="1:29" s="8" customFormat="1">
      <c r="A112" s="31"/>
      <c r="B112" s="34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17"/>
      <c r="AC112" s="17"/>
    </row>
    <row r="113" spans="2:29" s="8" customFormat="1">
      <c r="B113" s="34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22"/>
      <c r="N113" s="22"/>
      <c r="O113" s="22"/>
      <c r="P113" s="22"/>
      <c r="Q113" s="3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17"/>
      <c r="AC113" s="17"/>
    </row>
    <row r="114" spans="2:29" s="8" customFormat="1">
      <c r="B114" s="34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22"/>
      <c r="N114" s="22"/>
      <c r="O114" s="22"/>
      <c r="P114" s="22"/>
      <c r="Q114" s="3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17"/>
      <c r="AC114" s="17"/>
    </row>
    <row r="115" spans="2:29" s="8" customFormat="1">
      <c r="B115" s="34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22"/>
      <c r="N115" s="22"/>
      <c r="O115" s="22"/>
      <c r="P115" s="22"/>
      <c r="Q115" s="3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17"/>
      <c r="AC115" s="17"/>
    </row>
    <row r="116" spans="2:29" s="8" customFormat="1">
      <c r="B116" s="34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22"/>
      <c r="N116" s="22"/>
      <c r="O116" s="22"/>
      <c r="P116" s="22"/>
      <c r="Q116" s="3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17"/>
      <c r="AC116" s="17"/>
    </row>
    <row r="117" spans="2:29" s="8" customFormat="1">
      <c r="B117" s="34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22"/>
      <c r="N117" s="22"/>
      <c r="O117" s="22"/>
      <c r="P117" s="22"/>
      <c r="Q117" s="3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17"/>
      <c r="AC117" s="17"/>
    </row>
    <row r="118" spans="2:29" s="8" customFormat="1">
      <c r="B118" s="34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22"/>
      <c r="N118" s="22"/>
      <c r="O118" s="22"/>
      <c r="P118" s="22"/>
      <c r="Q118" s="3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17"/>
      <c r="AC118" s="17"/>
    </row>
    <row r="119" spans="2:29" s="8" customFormat="1">
      <c r="B119" s="34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22"/>
      <c r="N119" s="22"/>
      <c r="O119" s="22"/>
      <c r="P119" s="22"/>
      <c r="Q119" s="3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17"/>
      <c r="AC119" s="17"/>
    </row>
    <row r="120" spans="2:29" s="8" customFormat="1">
      <c r="B120" s="34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22"/>
      <c r="N120" s="22"/>
      <c r="O120" s="22"/>
      <c r="P120" s="22"/>
      <c r="Q120" s="3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17"/>
      <c r="AC120" s="17"/>
    </row>
    <row r="121" spans="2:29" s="8" customFormat="1">
      <c r="B121" s="34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22"/>
      <c r="N121" s="22"/>
      <c r="O121" s="22"/>
      <c r="P121" s="22"/>
      <c r="Q121" s="3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17"/>
      <c r="AC121" s="17"/>
    </row>
    <row r="122" spans="2:29" s="8" customFormat="1">
      <c r="B122" s="34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22"/>
      <c r="N122" s="22"/>
      <c r="O122" s="22"/>
      <c r="P122" s="22"/>
      <c r="Q122" s="3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17"/>
      <c r="AC122" s="17"/>
    </row>
    <row r="123" spans="2:29" s="8" customFormat="1">
      <c r="B123" s="34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22"/>
      <c r="N123" s="22"/>
      <c r="O123" s="22"/>
      <c r="P123" s="22"/>
      <c r="Q123" s="3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17"/>
      <c r="AC123" s="17"/>
    </row>
    <row r="124" spans="2:29" s="8" customFormat="1">
      <c r="B124" s="34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22"/>
      <c r="N124" s="22"/>
      <c r="O124" s="22"/>
      <c r="P124" s="22"/>
      <c r="Q124" s="3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17"/>
      <c r="AC124" s="17"/>
    </row>
    <row r="125" spans="2:29" s="8" customFormat="1">
      <c r="B125" s="34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22"/>
      <c r="N125" s="22"/>
      <c r="O125" s="22"/>
      <c r="P125" s="22"/>
      <c r="Q125" s="3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17"/>
      <c r="AC125" s="17"/>
    </row>
    <row r="126" spans="2:29" s="8" customFormat="1">
      <c r="B126" s="34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22"/>
      <c r="N126" s="22"/>
      <c r="O126" s="22"/>
      <c r="P126" s="22"/>
      <c r="Q126" s="3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17"/>
      <c r="AC126" s="17"/>
    </row>
    <row r="127" spans="2:29" s="8" customFormat="1">
      <c r="B127" s="34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22"/>
      <c r="N127" s="22"/>
      <c r="O127" s="22"/>
      <c r="P127" s="22"/>
      <c r="Q127" s="3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17"/>
      <c r="AC127" s="17"/>
    </row>
    <row r="128" spans="2:29" s="8" customFormat="1">
      <c r="B128" s="34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22"/>
      <c r="N128" s="22"/>
      <c r="O128" s="22"/>
      <c r="P128" s="22"/>
      <c r="Q128" s="3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17"/>
      <c r="AC128" s="17"/>
    </row>
    <row r="129" spans="1:29" s="8" customFormat="1">
      <c r="A129" s="31"/>
      <c r="B129" s="34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22"/>
      <c r="N129" s="22"/>
      <c r="O129" s="22"/>
      <c r="P129" s="22"/>
      <c r="Q129" s="3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17"/>
      <c r="AC129" s="17"/>
    </row>
    <row r="130" spans="1:29" s="8" customFormat="1">
      <c r="A130" s="31"/>
      <c r="B130" s="34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22"/>
      <c r="N130" s="22"/>
      <c r="O130" s="22"/>
      <c r="P130" s="22"/>
      <c r="Q130" s="3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17"/>
      <c r="AC130" s="17"/>
    </row>
    <row r="131" spans="1:29" s="8" customFormat="1">
      <c r="A131" s="31"/>
      <c r="B131" s="34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22"/>
      <c r="N131" s="22"/>
      <c r="O131" s="22"/>
      <c r="P131" s="22"/>
      <c r="Q131" s="3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17"/>
      <c r="AC131" s="17"/>
    </row>
    <row r="132" spans="1:29" s="20" customFormat="1" ht="15" thickBot="1">
      <c r="A132" s="9" t="str">
        <f ca="1">CONCATENATE("Table ",N132,"a. Six-Year Completion Rates for Class of ",A134,", School Percentile Distribution")</f>
        <v>Table 5a. Six-Year Completion Rates for Class of 2012, School Percentile Distribution</v>
      </c>
      <c r="B132" s="34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22"/>
      <c r="N132" s="22">
        <f>5+5*($M$1-1)</f>
        <v>5</v>
      </c>
      <c r="O132" s="22"/>
      <c r="P132" s="22"/>
      <c r="Q132" s="3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17"/>
      <c r="AC132" s="17"/>
    </row>
    <row r="133" spans="1:29" s="20" customFormat="1" ht="29.45" thickBot="1">
      <c r="A133" s="10"/>
      <c r="B133" s="19" t="s">
        <v>36</v>
      </c>
      <c r="C133" s="11" t="s">
        <v>37</v>
      </c>
      <c r="D133" s="11" t="s">
        <v>38</v>
      </c>
      <c r="E133" s="11" t="s">
        <v>39</v>
      </c>
      <c r="F133" s="31"/>
      <c r="G133" s="31"/>
      <c r="H133" s="31"/>
      <c r="I133" s="31"/>
      <c r="J133" s="31"/>
      <c r="K133" s="31"/>
      <c r="L133" s="31"/>
      <c r="M133" s="22"/>
      <c r="N133" s="22"/>
      <c r="O133" s="22"/>
      <c r="P133" s="22"/>
      <c r="Q133" s="3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17"/>
      <c r="AC133" s="17"/>
    </row>
    <row r="134" spans="1:29" s="20" customFormat="1" ht="15" thickBot="1">
      <c r="A134" s="12">
        <f ca="1">INDIRECT(CONCATENATE("'ALL DATA'!",O$1,$N134))</f>
        <v>2012</v>
      </c>
      <c r="B134" s="13">
        <f ca="1">INDIRECT(CONCATENATE("'ALL DATA'!",X$1,$N134))</f>
        <v>595</v>
      </c>
      <c r="C134" s="14">
        <f ca="1">IF(ISBLANK(INDIRECT(CONCATENATE("'ALL DATA'!",Y$1,$N134))),"*",INDIRECT(CONCATENATE("'ALL DATA'!",Y$1,$N134)))</f>
        <v>8.7179487179487175E-2</v>
      </c>
      <c r="D134" s="14">
        <f t="shared" ref="D134:E134" ca="1" si="38">IF(ISBLANK(INDIRECT(CONCATENATE("'ALL DATA'!",Z$1,$N134))),"*",INDIRECT(CONCATENATE("'ALL DATA'!",Z$1,$N134)))</f>
        <v>0.16814159292035399</v>
      </c>
      <c r="E134" s="14">
        <f t="shared" ca="1" si="38"/>
        <v>0.25</v>
      </c>
      <c r="F134" s="31"/>
      <c r="G134" s="31"/>
      <c r="H134" s="31"/>
      <c r="I134" s="31"/>
      <c r="J134" s="31"/>
      <c r="K134" s="31"/>
      <c r="L134" s="31"/>
      <c r="M134" s="22"/>
      <c r="N134" s="22">
        <f>9+8*($M$1-1)</f>
        <v>9</v>
      </c>
      <c r="O134" s="22"/>
      <c r="P134" s="22"/>
      <c r="Q134" s="3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17"/>
      <c r="AC134" s="17"/>
    </row>
    <row r="135" spans="1:29" s="20" customFormat="1">
      <c r="A135" s="31"/>
      <c r="B135" s="34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22"/>
      <c r="N135" s="22"/>
      <c r="O135" s="22"/>
      <c r="P135" s="22"/>
      <c r="Q135" s="3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17"/>
      <c r="AC135" s="17"/>
    </row>
    <row r="136" spans="1:29" s="20" customFormat="1">
      <c r="A136" s="31"/>
      <c r="B136" s="34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22"/>
      <c r="N136" s="22"/>
      <c r="O136" s="22"/>
      <c r="P136" s="22"/>
      <c r="Q136" s="3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17"/>
      <c r="AC136" s="17"/>
    </row>
    <row r="137" spans="1:29" s="20" customFormat="1" ht="15" thickBot="1">
      <c r="A137" s="9" t="str">
        <f ca="1">CONCATENATE("Table ",N137,"b. Six-Year Completion Rates for Class of ",A139, ", Student-Weighted Totals")</f>
        <v>Table 5b. Six-Year Completion Rates for Class of 2012, Student-Weighted Totals</v>
      </c>
      <c r="B137" s="34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22"/>
      <c r="N137" s="22">
        <f>5+5*($M$1-1)</f>
        <v>5</v>
      </c>
      <c r="O137" s="22"/>
      <c r="P137" s="22"/>
      <c r="Q137" s="3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17"/>
      <c r="AC137" s="17"/>
    </row>
    <row r="138" spans="1:29" s="20" customFormat="1" ht="29.45" thickBot="1">
      <c r="A138" s="10"/>
      <c r="B138" s="19" t="s">
        <v>40</v>
      </c>
      <c r="C138" s="11" t="s">
        <v>41</v>
      </c>
      <c r="D138" s="11" t="s">
        <v>42</v>
      </c>
      <c r="E138" s="11" t="s">
        <v>43</v>
      </c>
      <c r="F138" s="11" t="s">
        <v>44</v>
      </c>
      <c r="G138" s="11" t="s">
        <v>45</v>
      </c>
      <c r="H138" s="11" t="s">
        <v>46</v>
      </c>
      <c r="I138" s="11" t="s">
        <v>47</v>
      </c>
      <c r="J138" s="7"/>
      <c r="K138" s="7"/>
      <c r="L138" s="7"/>
      <c r="M138" s="22"/>
      <c r="N138" s="23"/>
      <c r="O138" s="22"/>
      <c r="P138" s="22"/>
      <c r="Q138" s="3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17"/>
      <c r="AC138" s="17"/>
    </row>
    <row r="139" spans="1:29" s="20" customFormat="1" ht="15" thickBot="1">
      <c r="A139" s="12">
        <f ca="1">INDIRECT(CONCATENATE("'All DATA'!",O$1,$N139))</f>
        <v>2012</v>
      </c>
      <c r="B139" s="13">
        <f t="shared" ref="B139" ca="1" si="39">INDIRECT(CONCATENATE("'All DATA'!",P$1,$N139))</f>
        <v>91913</v>
      </c>
      <c r="C139" s="14">
        <f ca="1">IF(ISBLANK(INDIRECT(CONCATENATE("'All DATA'!",Q$1,$N139))),"*",INDIRECT(CONCATENATE("'All DATA'!",Q$1,$N139)))</f>
        <v>0.21096036469269852</v>
      </c>
      <c r="D139" s="14">
        <f t="shared" ref="D139:I139" ca="1" si="40">IF(ISBLANK(INDIRECT(CONCATENATE("'All DATA'!",R$1,$N139))),"*",INDIRECT(CONCATENATE("'All DATA'!",R$1,$N139)))</f>
        <v>0.16332836486677618</v>
      </c>
      <c r="E139" s="14">
        <f t="shared" ca="1" si="40"/>
        <v>4.7631999825922339E-2</v>
      </c>
      <c r="F139" s="14">
        <f t="shared" ca="1" si="40"/>
        <v>7.0403533776506044E-2</v>
      </c>
      <c r="G139" s="14">
        <f t="shared" ca="1" si="40"/>
        <v>0.14055683091619248</v>
      </c>
      <c r="H139" s="14">
        <f t="shared" ca="1" si="40"/>
        <v>0.18135628257156225</v>
      </c>
      <c r="I139" s="14">
        <f t="shared" ca="1" si="40"/>
        <v>2.9604082121136292E-2</v>
      </c>
      <c r="J139" s="31"/>
      <c r="K139" s="3"/>
      <c r="L139" s="3"/>
      <c r="M139" s="22"/>
      <c r="N139" s="22">
        <f>9+8*($M$1-1)</f>
        <v>9</v>
      </c>
      <c r="O139" s="22"/>
      <c r="P139" s="22"/>
      <c r="Q139" s="3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17"/>
      <c r="AC139" s="17"/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31"/>
      <c r="L140" s="31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 s="20" customFormat="1">
      <c r="A141" s="31"/>
      <c r="B141" s="34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22"/>
      <c r="N141" s="3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17"/>
      <c r="AC141" s="17"/>
    </row>
    <row r="142" spans="1:29" s="20" customFormat="1">
      <c r="A142" s="31" t="str">
        <f ca="1">CONCATENATE("Figure ", RIGHT(A137,LEN(A137)-6))</f>
        <v>Figure 5b. Six-Year Completion Rates for Class of 2012, Student-Weighted Totals</v>
      </c>
      <c r="B142" s="34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17"/>
      <c r="AC142" s="17"/>
    </row>
    <row r="143" spans="1:29" s="20" customFormat="1">
      <c r="A143" s="31"/>
      <c r="B143" s="34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17"/>
      <c r="AC143" s="17"/>
    </row>
    <row r="144" spans="1:29" s="20" customFormat="1">
      <c r="A144" s="31"/>
      <c r="B144" s="34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22"/>
      <c r="N144" s="22"/>
      <c r="O144" s="22"/>
      <c r="P144" s="22"/>
      <c r="Q144" s="3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17"/>
      <c r="AC144" s="17"/>
    </row>
    <row r="145" spans="2:29" s="20" customFormat="1">
      <c r="B145" s="34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22"/>
      <c r="N145" s="22"/>
      <c r="O145" s="22"/>
      <c r="P145" s="22"/>
      <c r="Q145" s="3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17"/>
      <c r="AC145" s="17"/>
    </row>
    <row r="146" spans="2:29" s="20" customFormat="1">
      <c r="B146" s="34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22"/>
      <c r="N146" s="22"/>
      <c r="O146" s="22"/>
      <c r="P146" s="22"/>
      <c r="Q146" s="3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17"/>
      <c r="AC146" s="17"/>
    </row>
    <row r="147" spans="2:29" s="20" customFormat="1">
      <c r="B147" s="34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22"/>
      <c r="N147" s="22"/>
      <c r="O147" s="22"/>
      <c r="P147" s="22"/>
      <c r="Q147" s="3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17"/>
      <c r="AC147" s="17"/>
    </row>
    <row r="148" spans="2:29" s="20" customFormat="1">
      <c r="B148" s="34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22"/>
      <c r="N148" s="22"/>
      <c r="O148" s="22"/>
      <c r="P148" s="22"/>
      <c r="Q148" s="3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17"/>
      <c r="AC148" s="17"/>
    </row>
    <row r="149" spans="2:29" s="20" customFormat="1">
      <c r="B149" s="34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22"/>
      <c r="N149" s="22"/>
      <c r="O149" s="22"/>
      <c r="P149" s="22"/>
      <c r="Q149" s="3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17"/>
      <c r="AC149" s="17"/>
    </row>
    <row r="150" spans="2:29" s="20" customFormat="1">
      <c r="B150" s="34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22"/>
      <c r="N150" s="22"/>
      <c r="O150" s="22"/>
      <c r="P150" s="22"/>
      <c r="Q150" s="3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17"/>
      <c r="AC150" s="17"/>
    </row>
    <row r="151" spans="2:29" s="20" customFormat="1">
      <c r="B151" s="34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22"/>
      <c r="N151" s="22"/>
      <c r="O151" s="22"/>
      <c r="P151" s="22"/>
      <c r="Q151" s="3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17"/>
      <c r="AC151" s="17"/>
    </row>
    <row r="152" spans="2:29" s="20" customFormat="1">
      <c r="B152" s="34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22"/>
      <c r="N152" s="22"/>
      <c r="O152" s="22"/>
      <c r="P152" s="22"/>
      <c r="Q152" s="3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17"/>
      <c r="AC152" s="17"/>
    </row>
    <row r="153" spans="2:29" s="20" customFormat="1">
      <c r="B153" s="34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22"/>
      <c r="N153" s="22"/>
      <c r="O153" s="22"/>
      <c r="P153" s="22"/>
      <c r="Q153" s="3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17"/>
      <c r="AC153" s="17"/>
    </row>
    <row r="154" spans="2:29" s="20" customFormat="1">
      <c r="B154" s="34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22"/>
      <c r="N154" s="22"/>
      <c r="O154" s="22"/>
      <c r="P154" s="22"/>
      <c r="Q154" s="3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17"/>
      <c r="AC154" s="17"/>
    </row>
    <row r="155" spans="2:29" s="20" customFormat="1">
      <c r="B155" s="34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22"/>
      <c r="N155" s="22"/>
      <c r="O155" s="22"/>
      <c r="P155" s="22"/>
      <c r="Q155" s="3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17"/>
      <c r="AC155" s="17"/>
    </row>
    <row r="156" spans="2:29" s="20" customFormat="1">
      <c r="B156" s="34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22"/>
      <c r="N156" s="22"/>
      <c r="O156" s="22"/>
      <c r="P156" s="22"/>
      <c r="Q156" s="3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17"/>
      <c r="AC156" s="17"/>
    </row>
    <row r="157" spans="2:29" s="20" customFormat="1">
      <c r="B157" s="34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22"/>
      <c r="N157" s="22"/>
      <c r="O157" s="22"/>
      <c r="P157" s="22"/>
      <c r="Q157" s="3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17"/>
      <c r="AC157" s="17"/>
    </row>
    <row r="158" spans="2:29" s="20" customFormat="1">
      <c r="B158" s="34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22"/>
      <c r="N158" s="22"/>
      <c r="O158" s="22"/>
      <c r="P158" s="22"/>
      <c r="Q158" s="3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17"/>
      <c r="AC158" s="17"/>
    </row>
    <row r="159" spans="2:29" s="20" customFormat="1">
      <c r="B159" s="34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22"/>
      <c r="N159" s="22"/>
      <c r="O159" s="22"/>
      <c r="P159" s="22"/>
      <c r="Q159" s="3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17"/>
      <c r="AC159" s="17"/>
    </row>
    <row r="160" spans="2:29" s="20" customFormat="1">
      <c r="B160" s="34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22"/>
      <c r="N160" s="22"/>
      <c r="O160" s="22"/>
      <c r="P160" s="22"/>
      <c r="Q160" s="3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17"/>
      <c r="AC160" s="17"/>
    </row>
    <row r="161" spans="1:29" s="20" customFormat="1">
      <c r="A161" s="31"/>
      <c r="B161" s="34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22"/>
      <c r="N161" s="22"/>
      <c r="O161" s="22"/>
      <c r="P161" s="22"/>
      <c r="Q161" s="3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17"/>
      <c r="AC161" s="17"/>
    </row>
    <row r="163" spans="1:29">
      <c r="A163" s="26"/>
      <c r="B163" s="34"/>
      <c r="C163" s="31"/>
      <c r="D163" s="31"/>
      <c r="E163" s="31"/>
      <c r="F163" s="31"/>
      <c r="G163" s="31"/>
      <c r="H163" s="31"/>
      <c r="I163" s="31"/>
      <c r="J163" s="31"/>
      <c r="K163" s="31"/>
      <c r="L163" s="31"/>
    </row>
    <row r="164" spans="1:29">
      <c r="A164" s="26" t="s">
        <v>49</v>
      </c>
      <c r="B164" s="34"/>
      <c r="C164" s="31"/>
      <c r="D164" s="31"/>
      <c r="E164" s="31"/>
      <c r="F164" s="31"/>
      <c r="G164" s="31"/>
      <c r="H164" s="31"/>
      <c r="I164" s="31"/>
      <c r="J164" s="31"/>
      <c r="K164" s="31"/>
      <c r="L164" s="31"/>
    </row>
  </sheetData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M2" sqref="M2"/>
    </sheetView>
  </sheetViews>
  <sheetFormatPr defaultColWidth="9.140625" defaultRowHeight="14.45"/>
  <cols>
    <col min="1" max="1" width="11.7109375" style="31" customWidth="1"/>
    <col min="2" max="2" width="10.7109375" style="34" customWidth="1"/>
    <col min="3" max="9" width="10.7109375" style="31" customWidth="1"/>
    <col min="10" max="12" width="9.140625" style="31"/>
    <col min="13" max="16" width="9.140625" style="22" customWidth="1"/>
    <col min="17" max="17" width="9.140625" style="3" customWidth="1"/>
    <col min="18" max="23" width="9.140625" style="22" customWidth="1"/>
    <col min="24" max="27" width="9.140625" style="22"/>
    <col min="28" max="29" width="9.140625" style="17"/>
    <col min="30" max="16384" width="9.140625" style="31"/>
  </cols>
  <sheetData>
    <row r="1" spans="1:30" ht="31.9" thickBot="1">
      <c r="A1" s="15" t="str">
        <f ca="1">INDIRECT(CONCATENATE("'All DATA'!A",$N1))</f>
        <v>Low Poverty Schools</v>
      </c>
      <c r="M1" s="25">
        <v>2</v>
      </c>
      <c r="N1" s="22">
        <f>2+8*($M$1-1)</f>
        <v>10</v>
      </c>
      <c r="O1" s="22" t="s">
        <v>23</v>
      </c>
      <c r="P1" s="22" t="s">
        <v>24</v>
      </c>
      <c r="Q1" s="22" t="s">
        <v>25</v>
      </c>
      <c r="R1" s="22" t="s">
        <v>26</v>
      </c>
      <c r="S1" s="22" t="s">
        <v>27</v>
      </c>
      <c r="T1" s="22" t="s">
        <v>28</v>
      </c>
      <c r="U1" s="22" t="s">
        <v>29</v>
      </c>
      <c r="V1" s="22" t="s">
        <v>30</v>
      </c>
      <c r="W1" s="22" t="s">
        <v>31</v>
      </c>
      <c r="X1" s="22" t="s">
        <v>32</v>
      </c>
      <c r="Y1" s="22" t="s">
        <v>33</v>
      </c>
      <c r="Z1" s="22" t="s">
        <v>34</v>
      </c>
      <c r="AA1" s="22" t="s">
        <v>35</v>
      </c>
      <c r="AD1" s="3"/>
    </row>
    <row r="2" spans="1:30" ht="15" thickBot="1">
      <c r="A2" s="31" t="str">
        <f ca="1">CONCATENATE("Table ",N2,"a. College Enrollment Rates in the First Fall after High School Graduation for Classes ",A4," and ",A5,", School Percentile Distribution")</f>
        <v>Table 6a. College Enrollment Rates in the First Fall after High School Graduation for Classes 2017 and 2018, School Percentile Distribution</v>
      </c>
      <c r="N2" s="22">
        <f>1+5*($M$1-1)</f>
        <v>6</v>
      </c>
    </row>
    <row r="3" spans="1:30" ht="29.45" thickBot="1">
      <c r="A3" s="10"/>
      <c r="B3" s="19" t="s">
        <v>36</v>
      </c>
      <c r="C3" s="11" t="s">
        <v>37</v>
      </c>
      <c r="D3" s="11" t="s">
        <v>38</v>
      </c>
      <c r="E3" s="11" t="s">
        <v>39</v>
      </c>
    </row>
    <row r="4" spans="1:30" ht="15" thickBot="1">
      <c r="A4" s="12">
        <f ca="1">INDIRECT(CONCATENATE("'ALL DATA'!",O$1,$N4))</f>
        <v>2017</v>
      </c>
      <c r="B4" s="13">
        <f ca="1">INDIRECT(CONCATENATE("'ALL DATA'!",X$1,$N4))</f>
        <v>1191</v>
      </c>
      <c r="C4" s="14">
        <f ca="1">IF(ISBLANK(INDIRECT(CONCATENATE("'ALL DATA'!",Y$1,$N4))),"*",INDIRECT(CONCATENATE("'ALL DATA'!",Y$1,$N4)))</f>
        <v>0.68047337278106512</v>
      </c>
      <c r="D4" s="14">
        <f t="shared" ref="D4:E5" ca="1" si="0">IF(ISBLANK(INDIRECT(CONCATENATE("'ALL DATA'!",Z$1,$N4))),"*",INDIRECT(CONCATENATE("'ALL DATA'!",Z$1,$N4)))</f>
        <v>0.76752767527675281</v>
      </c>
      <c r="E4" s="14">
        <f t="shared" ca="1" si="0"/>
        <v>0.82978723404255317</v>
      </c>
      <c r="N4" s="22">
        <f>2+8*($M$1-1)</f>
        <v>10</v>
      </c>
    </row>
    <row r="5" spans="1:30" ht="15" thickBot="1">
      <c r="A5" s="12">
        <f ca="1">INDIRECT(CONCATENATE("'ALL DATA'!",O$1,$N5))</f>
        <v>2018</v>
      </c>
      <c r="B5" s="13">
        <f ca="1">INDIRECT(CONCATENATE("'ALL DATA'!",X$1,$N5))</f>
        <v>1014</v>
      </c>
      <c r="C5" s="14">
        <f ca="1">IF(ISBLANK(INDIRECT(CONCATENATE("'ALL DATA'!",Y$1,$N5))),"*",INDIRECT(CONCATENATE("'ALL DATA'!",Y$1,$N5)))</f>
        <v>0.68717948717948718</v>
      </c>
      <c r="D5" s="14">
        <f t="shared" ca="1" si="0"/>
        <v>0.76988893193852515</v>
      </c>
      <c r="E5" s="14">
        <f t="shared" ca="1" si="0"/>
        <v>0.83244680851063835</v>
      </c>
      <c r="N5" s="22">
        <f>3+8*($M$1-1)</f>
        <v>11</v>
      </c>
    </row>
    <row r="8" spans="1:30" ht="15" thickBot="1">
      <c r="A8" s="31" t="str">
        <f ca="1">CONCATENATE("Table ",N8,"b. College Enrollment Rates in the First Fall after High School Graduation for Classes ",A10," and ",A11,", Student-Weighted Totals")</f>
        <v>Table 6b. College Enrollment Rates in the First Fall after High School Graduation for Classes 2017 and 2018, Student-Weighted Totals</v>
      </c>
      <c r="N8" s="22">
        <f>1+5*($M$1-1)</f>
        <v>6</v>
      </c>
      <c r="Q8" s="22"/>
      <c r="R8" s="3"/>
    </row>
    <row r="9" spans="1:30" ht="29.45" thickBot="1">
      <c r="A9" s="10"/>
      <c r="B9" s="19" t="s">
        <v>40</v>
      </c>
      <c r="C9" s="11" t="s">
        <v>41</v>
      </c>
      <c r="D9" s="11" t="s">
        <v>42</v>
      </c>
      <c r="E9" s="11" t="s">
        <v>43</v>
      </c>
      <c r="F9" s="11" t="s">
        <v>44</v>
      </c>
      <c r="G9" s="11" t="s">
        <v>45</v>
      </c>
      <c r="H9" s="11" t="s">
        <v>46</v>
      </c>
      <c r="I9" s="11" t="s">
        <v>47</v>
      </c>
      <c r="J9" s="7"/>
      <c r="K9" s="7"/>
      <c r="L9" s="7"/>
      <c r="N9" s="23"/>
    </row>
    <row r="10" spans="1:30" ht="15" thickBot="1">
      <c r="A10" s="12">
        <f ca="1">INDIRECT(CONCATENATE("'All DATA'!",O$1,$N10))</f>
        <v>2017</v>
      </c>
      <c r="B10" s="13">
        <f t="shared" ref="B10:B11" ca="1" si="1">INDIRECT(CONCATENATE("'All DATA'!",P$1,$N10))</f>
        <v>366936</v>
      </c>
      <c r="C10" s="14">
        <f ca="1">IF(ISBLANK(INDIRECT(CONCATENATE("'All DATA'!",Q$1,$N10))),"*",INDIRECT(CONCATENATE("'All DATA'!",Q$1,$N10)))</f>
        <v>0.7644003313929405</v>
      </c>
      <c r="D10" s="14">
        <f t="shared" ref="D10:I11" ca="1" si="2">IF(ISBLANK(INDIRECT(CONCATENATE("'All DATA'!",R$1,$N10))),"*",INDIRECT(CONCATENATE("'All DATA'!",R$1,$N10)))</f>
        <v>0.58401737632720696</v>
      </c>
      <c r="E10" s="14">
        <f t="shared" ca="1" si="2"/>
        <v>0.18038295506573354</v>
      </c>
      <c r="F10" s="14">
        <f t="shared" ca="1" si="2"/>
        <v>0.1753711818954804</v>
      </c>
      <c r="G10" s="14">
        <f t="shared" ca="1" si="2"/>
        <v>0.5890291494974601</v>
      </c>
      <c r="H10" s="14">
        <f t="shared" ca="1" si="2"/>
        <v>0.53864979178930383</v>
      </c>
      <c r="I10" s="14">
        <f t="shared" ca="1" si="2"/>
        <v>0.22575053960363661</v>
      </c>
      <c r="N10" s="22">
        <f>2+8*($M$1-1)</f>
        <v>10</v>
      </c>
    </row>
    <row r="11" spans="1:30" s="7" customFormat="1" ht="15" thickBot="1">
      <c r="A11" s="12">
        <f ca="1">INDIRECT(CONCATENATE("'All DATA'!",O$1,$N11))</f>
        <v>2018</v>
      </c>
      <c r="B11" s="13">
        <f t="shared" ca="1" si="1"/>
        <v>321579</v>
      </c>
      <c r="C11" s="14">
        <f ca="1">IF(ISBLANK(INDIRECT(CONCATENATE("'All DATA'!",Q$1,$N11))),"*",INDIRECT(CONCATENATE("'All DATA'!",Q$1,$N11)))</f>
        <v>0.76418547231006995</v>
      </c>
      <c r="D11" s="14">
        <f t="shared" ca="1" si="2"/>
        <v>0.58868893802145039</v>
      </c>
      <c r="E11" s="14">
        <f t="shared" ca="1" si="2"/>
        <v>0.17549653428861958</v>
      </c>
      <c r="F11" s="14">
        <f t="shared" ca="1" si="2"/>
        <v>0.17688966008352536</v>
      </c>
      <c r="G11" s="14">
        <f t="shared" ca="1" si="2"/>
        <v>0.58729581222654459</v>
      </c>
      <c r="H11" s="14">
        <f t="shared" ca="1" si="2"/>
        <v>0.53682609871913278</v>
      </c>
      <c r="I11" s="14">
        <f t="shared" ca="1" si="2"/>
        <v>0.22735937359093722</v>
      </c>
      <c r="J11" s="31"/>
      <c r="K11" s="31"/>
      <c r="L11" s="31"/>
      <c r="M11" s="22"/>
      <c r="N11" s="22">
        <f>3+8*($M$1-1)</f>
        <v>11</v>
      </c>
      <c r="O11" s="23"/>
      <c r="P11" s="23"/>
      <c r="Q11" s="23"/>
      <c r="R11" s="23"/>
      <c r="S11" s="23"/>
      <c r="T11" s="24"/>
      <c r="U11" s="23"/>
      <c r="V11" s="23"/>
      <c r="W11" s="23"/>
      <c r="X11" s="23"/>
      <c r="Y11" s="23"/>
      <c r="Z11" s="23"/>
      <c r="AA11" s="23"/>
      <c r="AB11" s="18"/>
      <c r="AC11" s="18"/>
    </row>
    <row r="12" spans="1:30">
      <c r="Q12" s="22"/>
      <c r="S12" s="3"/>
    </row>
    <row r="13" spans="1:30">
      <c r="Q13" s="22"/>
      <c r="R13" s="3"/>
    </row>
    <row r="14" spans="1:30">
      <c r="A14" s="31" t="str">
        <f ca="1">CONCATENATE("Figure ", RIGHT(A8,LEN(A8)-6))</f>
        <v>Figure 6b. College Enrollment Rates in the First Fall after High School Graduation for Classes 2017 and 2018, Student-Weighted Totals</v>
      </c>
      <c r="Q14" s="22"/>
      <c r="U14" s="3"/>
    </row>
    <row r="15" spans="1:30">
      <c r="Q15" s="22"/>
      <c r="X15" s="3"/>
    </row>
    <row r="35" spans="1:14" ht="15" thickBot="1">
      <c r="A35" s="9" t="str">
        <f ca="1">CONCATENATE("Table ",N35,"a. College Enrollment Rates in the First Year after High School Graduation for Classes ",A37," and ",A38,", School Percentile Distribution")</f>
        <v>Table 7a. College Enrollment Rates in the First Year after High School Graduation for Classes 2016 and 2017, School Percentile Distribution</v>
      </c>
      <c r="N35" s="22">
        <f>2+5*($M$1-1)</f>
        <v>7</v>
      </c>
    </row>
    <row r="36" spans="1:14" ht="29.45" thickBot="1">
      <c r="A36" s="10"/>
      <c r="B36" s="19" t="s">
        <v>36</v>
      </c>
      <c r="C36" s="11" t="s">
        <v>37</v>
      </c>
      <c r="D36" s="11" t="s">
        <v>38</v>
      </c>
      <c r="E36" s="11" t="s">
        <v>39</v>
      </c>
    </row>
    <row r="37" spans="1:14" ht="15" thickBot="1">
      <c r="A37" s="12">
        <f ca="1">INDIRECT(CONCATENATE("'ALL DATA'!",O$1,$N37))</f>
        <v>2016</v>
      </c>
      <c r="B37" s="13">
        <f ca="1">INDIRECT(CONCATENATE("'ALL DATA'!",X$1,$N37))</f>
        <v>1230</v>
      </c>
      <c r="C37" s="14">
        <f ca="1">IF(ISBLANK(INDIRECT(CONCATENATE("'ALL DATA'!",Y$1,$N37))),"*",INDIRECT(CONCATENATE("'ALL DATA'!",Y$1,$N37)))</f>
        <v>0.72727272727272729</v>
      </c>
      <c r="D37" s="14">
        <f t="shared" ref="D37:E38" ca="1" si="3">IF(ISBLANK(INDIRECT(CONCATENATE("'ALL DATA'!",Z$1,$N37))),"*",INDIRECT(CONCATENATE("'ALL DATA'!",Z$1,$N37)))</f>
        <v>0.80496899165454405</v>
      </c>
      <c r="E37" s="14">
        <f t="shared" ca="1" si="3"/>
        <v>0.8633686690223793</v>
      </c>
      <c r="N37" s="22">
        <f>4+8*($M$1-1)</f>
        <v>12</v>
      </c>
    </row>
    <row r="38" spans="1:14" ht="15" thickBot="1">
      <c r="A38" s="12">
        <f ca="1">INDIRECT(CONCATENATE("'ALL DATA'!",O$1,$N38))</f>
        <v>2017</v>
      </c>
      <c r="B38" s="13">
        <f ca="1">INDIRECT(CONCATENATE("'ALL DATA'!",X$1,$N38))</f>
        <v>1191</v>
      </c>
      <c r="C38" s="14">
        <f ca="1">IF(ISBLANK(INDIRECT(CONCATENATE("'ALL DATA'!",Y$1,$N38))),"*",INDIRECT(CONCATENATE("'ALL DATA'!",Y$1,$N38)))</f>
        <v>0.7080152671755725</v>
      </c>
      <c r="D38" s="14">
        <f t="shared" ca="1" si="3"/>
        <v>0.7982062780269058</v>
      </c>
      <c r="E38" s="14">
        <f t="shared" ca="1" si="3"/>
        <v>0.8571428571428571</v>
      </c>
      <c r="N38" s="22">
        <f>5+8*($M$1-1)</f>
        <v>13</v>
      </c>
    </row>
    <row r="41" spans="1:14" ht="15" thickBot="1">
      <c r="A41" s="9" t="str">
        <f ca="1">CONCATENATE("Table ",N41,"b. College Enrollment Rates in the First Year after High School Graduation for Classes ",A43," and ",A44,", Student-Weighted Totals")</f>
        <v>Table 7b. College Enrollment Rates in the First Year after High School Graduation for Classes 2016 and 2017, Student-Weighted Totals</v>
      </c>
      <c r="N41" s="22">
        <f>2+5*($M$1-1)</f>
        <v>7</v>
      </c>
    </row>
    <row r="42" spans="1:14" ht="29.45" thickBot="1">
      <c r="A42" s="10"/>
      <c r="B42" s="19" t="s">
        <v>40</v>
      </c>
      <c r="C42" s="11" t="s">
        <v>41</v>
      </c>
      <c r="D42" s="11" t="s">
        <v>42</v>
      </c>
      <c r="E42" s="11" t="s">
        <v>43</v>
      </c>
      <c r="F42" s="11" t="s">
        <v>44</v>
      </c>
      <c r="G42" s="11" t="s">
        <v>45</v>
      </c>
      <c r="H42" s="11" t="s">
        <v>46</v>
      </c>
      <c r="I42" s="11" t="s">
        <v>47</v>
      </c>
      <c r="J42" s="7"/>
    </row>
    <row r="43" spans="1:14" ht="15" thickBot="1">
      <c r="A43" s="12">
        <f ca="1">INDIRECT(CONCATENATE("'All DATA'!",O$1,$N43))</f>
        <v>2016</v>
      </c>
      <c r="B43" s="13">
        <f t="shared" ref="B43:B44" ca="1" si="4">INDIRECT(CONCATENATE("'All DATA'!",P$1,$N43))</f>
        <v>383139</v>
      </c>
      <c r="C43" s="14">
        <f ca="1">IF(ISBLANK(INDIRECT(CONCATENATE("'All DATA'!",Q$1,$N43))),"*",INDIRECT(CONCATENATE("'All DATA'!",Q$1,$N43)))</f>
        <v>0.80395104648704518</v>
      </c>
      <c r="D43" s="14">
        <f t="shared" ref="D43:I44" ca="1" si="5">IF(ISBLANK(INDIRECT(CONCATENATE("'All DATA'!",R$1,$N43))),"*",INDIRECT(CONCATENATE("'All DATA'!",R$1,$N43)))</f>
        <v>0.61494392374569018</v>
      </c>
      <c r="E43" s="14">
        <f t="shared" ca="1" si="5"/>
        <v>0.18900712274135498</v>
      </c>
      <c r="F43" s="14">
        <f t="shared" ca="1" si="5"/>
        <v>0.19828312962136457</v>
      </c>
      <c r="G43" s="14">
        <f t="shared" ca="1" si="5"/>
        <v>0.60566791686568056</v>
      </c>
      <c r="H43" s="14">
        <f t="shared" ca="1" si="5"/>
        <v>0.56772607330498848</v>
      </c>
      <c r="I43" s="14">
        <f t="shared" ca="1" si="5"/>
        <v>0.23622497318205665</v>
      </c>
      <c r="N43" s="22">
        <f>4+8*($M$1-1)</f>
        <v>12</v>
      </c>
    </row>
    <row r="44" spans="1:14" ht="15" thickBot="1">
      <c r="A44" s="12">
        <f ca="1">INDIRECT(CONCATENATE("'All DATA'!",O$1,$N44))</f>
        <v>2017</v>
      </c>
      <c r="B44" s="13">
        <f t="shared" ca="1" si="4"/>
        <v>366936</v>
      </c>
      <c r="C44" s="14">
        <f ca="1">IF(ISBLANK(INDIRECT(CONCATENATE("'All DATA'!",Q$1,$N44))),"*",INDIRECT(CONCATENATE("'All DATA'!",Q$1,$N44)))</f>
        <v>0.79363976279242154</v>
      </c>
      <c r="D44" s="14">
        <f t="shared" ca="1" si="5"/>
        <v>0.60781716702640243</v>
      </c>
      <c r="E44" s="14">
        <f t="shared" ca="1" si="5"/>
        <v>0.18582259576601914</v>
      </c>
      <c r="F44" s="14">
        <f t="shared" ca="1" si="5"/>
        <v>0.18803824100115551</v>
      </c>
      <c r="G44" s="14">
        <f t="shared" ca="1" si="5"/>
        <v>0.60560152179126603</v>
      </c>
      <c r="H44" s="14">
        <f t="shared" ca="1" si="5"/>
        <v>0.56148211132186543</v>
      </c>
      <c r="I44" s="14">
        <f t="shared" ca="1" si="5"/>
        <v>0.23215765147055617</v>
      </c>
      <c r="N44" s="22">
        <f>5+8*($M$1-1)</f>
        <v>13</v>
      </c>
    </row>
    <row r="47" spans="1:14">
      <c r="A47" s="31" t="str">
        <f ca="1">CONCATENATE("Figure ", RIGHT(A41,LEN(A41)-6))</f>
        <v>Figure 7b. College Enrollment Rates in the First Year after High School Graduation for Classes 2016 and 2017, Student-Weighted Totals</v>
      </c>
    </row>
    <row r="68" spans="1:29" ht="15" thickBot="1">
      <c r="A68" s="9" t="str">
        <f ca="1">CONCATENATE("Table ",N68,"a. College Enrollment Rates in the First Two Years after High School Graduation for Classes ",A70," and ",A71,", School Percentile Distribution")</f>
        <v>Table 8a. College Enrollment Rates in the First Two Years after High School Graduation for Classes 2015 and 2016, School Percentile Distribution</v>
      </c>
      <c r="N68" s="22">
        <f>3+5*($M$1-1)</f>
        <v>8</v>
      </c>
    </row>
    <row r="69" spans="1:29" ht="29.45" thickBot="1">
      <c r="A69" s="10"/>
      <c r="B69" s="19" t="s">
        <v>36</v>
      </c>
      <c r="C69" s="11" t="s">
        <v>37</v>
      </c>
      <c r="D69" s="11" t="s">
        <v>38</v>
      </c>
      <c r="E69" s="11" t="s">
        <v>39</v>
      </c>
    </row>
    <row r="70" spans="1:29" ht="15" thickBot="1">
      <c r="A70" s="12">
        <f ca="1">INDIRECT(CONCATENATE("'ALL DATA'!",O$1,$N70))</f>
        <v>2015</v>
      </c>
      <c r="B70" s="13">
        <f ca="1">INDIRECT(CONCATENATE("'ALL DATA'!",X$1,$N70))</f>
        <v>1248</v>
      </c>
      <c r="C70" s="14">
        <f ca="1">IF(ISBLANK(INDIRECT(CONCATENATE("'ALL DATA'!",Y$1,$N70))),"*",INDIRECT(CONCATENATE("'ALL DATA'!",Y$1,$N70)))</f>
        <v>0.77015063896623115</v>
      </c>
      <c r="D70" s="14">
        <f t="shared" ref="D70:E71" ca="1" si="6">IF(ISBLANK(INDIRECT(CONCATENATE("'ALL DATA'!",Z$1,$N70))),"*",INDIRECT(CONCATENATE("'ALL DATA'!",Z$1,$N70)))</f>
        <v>0.84477234131180112</v>
      </c>
      <c r="E70" s="14">
        <f t="shared" ca="1" si="6"/>
        <v>0.89148550724637676</v>
      </c>
      <c r="N70" s="22">
        <f>6+8*($M$1-1)</f>
        <v>14</v>
      </c>
    </row>
    <row r="71" spans="1:29" ht="15" thickBot="1">
      <c r="A71" s="12">
        <f ca="1">INDIRECT(CONCATENATE("'ALL DATA'!",O$1,$N71))</f>
        <v>2016</v>
      </c>
      <c r="B71" s="13">
        <f ca="1">INDIRECT(CONCATENATE("'ALL DATA'!",X$1,$N71))</f>
        <v>1230</v>
      </c>
      <c r="C71" s="14">
        <f ca="1">IF(ISBLANK(INDIRECT(CONCATENATE("'ALL DATA'!",Y$1,$N71))),"*",INDIRECT(CONCATENATE("'ALL DATA'!",Y$1,$N71)))</f>
        <v>0.76811594202898548</v>
      </c>
      <c r="D71" s="14">
        <f t="shared" ca="1" si="6"/>
        <v>0.83932551794302634</v>
      </c>
      <c r="E71" s="14">
        <f t="shared" ca="1" si="6"/>
        <v>0.88994307400379502</v>
      </c>
      <c r="N71" s="22">
        <f>7+8*($M$1-1)</f>
        <v>15</v>
      </c>
    </row>
    <row r="74" spans="1:29" ht="15" thickBot="1">
      <c r="A74" s="9" t="str">
        <f ca="1">CONCATENATE("Table ",N74,"b. College Enrollment Rates in the First Two Years after High School Graduation for Classes ",A76," and ",A77,", Student-Weighted Totals")</f>
        <v>Table 8b. College Enrollment Rates in the First Two Years after High School Graduation for Classes 2015 and 2016, Student-Weighted Totals</v>
      </c>
      <c r="N74" s="22">
        <f>3+5*($M$1-1)</f>
        <v>8</v>
      </c>
    </row>
    <row r="75" spans="1:29" ht="29.45" thickBot="1">
      <c r="A75" s="10"/>
      <c r="B75" s="19" t="s">
        <v>40</v>
      </c>
      <c r="C75" s="11" t="s">
        <v>41</v>
      </c>
      <c r="D75" s="11" t="s">
        <v>42</v>
      </c>
      <c r="E75" s="11" t="s">
        <v>43</v>
      </c>
      <c r="F75" s="11" t="s">
        <v>44</v>
      </c>
      <c r="G75" s="11" t="s">
        <v>45</v>
      </c>
      <c r="H75" s="11" t="s">
        <v>46</v>
      </c>
      <c r="I75" s="11" t="s">
        <v>47</v>
      </c>
      <c r="J75" s="7"/>
      <c r="K75" s="7"/>
      <c r="L75" s="7"/>
      <c r="N75" s="23"/>
    </row>
    <row r="76" spans="1:29" ht="15" thickBot="1">
      <c r="A76" s="12">
        <f ca="1">INDIRECT(CONCATENATE("'All DATA'!",O$1,$N76))</f>
        <v>2015</v>
      </c>
      <c r="B76" s="13">
        <f t="shared" ref="B76:B77" ca="1" si="7">INDIRECT(CONCATENATE("'All DATA'!",P$1,$N76))</f>
        <v>388128</v>
      </c>
      <c r="C76" s="14">
        <f ca="1">IF(ISBLANK(INDIRECT(CONCATENATE("'All DATA'!",Q$1,$N76))),"*",INDIRECT(CONCATENATE("'All DATA'!",Q$1,$N76)))</f>
        <v>0.83868208426086244</v>
      </c>
      <c r="D76" s="14">
        <f t="shared" ref="D76:I77" ca="1" si="8">IF(ISBLANK(INDIRECT(CONCATENATE("'All DATA'!",R$1,$N76))),"*",INDIRECT(CONCATENATE("'All DATA'!",R$1,$N76)))</f>
        <v>0.64155124082776815</v>
      </c>
      <c r="E76" s="14">
        <f t="shared" ca="1" si="8"/>
        <v>0.19713084343309423</v>
      </c>
      <c r="F76" s="14">
        <f t="shared" ca="1" si="8"/>
        <v>0.21471524857778876</v>
      </c>
      <c r="G76" s="14">
        <f t="shared" ca="1" si="8"/>
        <v>0.62396683568307365</v>
      </c>
      <c r="H76" s="14">
        <f t="shared" ca="1" si="8"/>
        <v>0.59453067029433593</v>
      </c>
      <c r="I76" s="14">
        <f t="shared" ca="1" si="8"/>
        <v>0.24415141396652651</v>
      </c>
      <c r="K76" s="3"/>
      <c r="L76" s="3"/>
      <c r="N76" s="22">
        <f>6+8*($M$1-1)</f>
        <v>14</v>
      </c>
    </row>
    <row r="77" spans="1:29" ht="15" thickBot="1">
      <c r="A77" s="12">
        <f ca="1">INDIRECT(CONCATENATE("'All DATA'!",O$1,$N77))</f>
        <v>2016</v>
      </c>
      <c r="B77" s="13">
        <f t="shared" ca="1" si="7"/>
        <v>383139</v>
      </c>
      <c r="C77" s="14">
        <f ca="1">IF(ISBLANK(INDIRECT(CONCATENATE("'All DATA'!",Q$1,$N77))),"*",INDIRECT(CONCATENATE("'All DATA'!",Q$1,$N77)))</f>
        <v>0.83670417263708474</v>
      </c>
      <c r="D77" s="14">
        <f t="shared" ca="1" si="8"/>
        <v>0.64228126084789072</v>
      </c>
      <c r="E77" s="14">
        <f t="shared" ca="1" si="8"/>
        <v>0.19442291178919399</v>
      </c>
      <c r="F77" s="14">
        <f t="shared" ca="1" si="8"/>
        <v>0.21708570518793441</v>
      </c>
      <c r="G77" s="14">
        <f t="shared" ca="1" si="8"/>
        <v>0.61961846744915028</v>
      </c>
      <c r="H77" s="14">
        <f t="shared" ca="1" si="8"/>
        <v>0.59242468138195281</v>
      </c>
      <c r="I77" s="14">
        <f t="shared" ca="1" si="8"/>
        <v>0.24427949125513196</v>
      </c>
      <c r="K77" s="3"/>
      <c r="L77" s="3"/>
      <c r="N77" s="22">
        <f>7+8*($M$1-1)</f>
        <v>15</v>
      </c>
    </row>
    <row r="78" spans="1:29" s="7" customFormat="1">
      <c r="A78" s="4"/>
      <c r="B78" s="5"/>
      <c r="C78" s="6"/>
      <c r="D78" s="6"/>
      <c r="E78" s="6"/>
      <c r="F78" s="6"/>
      <c r="G78" s="6"/>
      <c r="H78" s="6"/>
      <c r="I78" s="6"/>
      <c r="J78" s="3"/>
      <c r="K78" s="31"/>
      <c r="L78" s="31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18"/>
      <c r="AC78" s="18"/>
    </row>
    <row r="79" spans="1:29">
      <c r="N79" s="3"/>
      <c r="Q79" s="22"/>
    </row>
    <row r="80" spans="1:29">
      <c r="A80" s="31" t="str">
        <f ca="1">CONCATENATE("Figure ", RIGHT(A74,LEN(A74)-6))</f>
        <v>Figure 8b. College Enrollment Rates in the First Two Years after High School Graduation for Classes 2015 and 2016, Student-Weighted Totals</v>
      </c>
      <c r="Q80" s="22"/>
    </row>
    <row r="81" spans="17:17">
      <c r="Q81" s="22"/>
    </row>
    <row r="101" spans="1:29" ht="15" thickBot="1">
      <c r="A101" s="9" t="str">
        <f ca="1">CONCATENATE("Table ",N101,"a. Persistence Rates from First to Second Year of College for Class of ",A103,", School Percentile Distribution")</f>
        <v>Table 9a. Persistence Rates from First to Second Year of College for Class of 2016, School Percentile Distribution</v>
      </c>
      <c r="N101" s="22">
        <f>4+5*($M$1-1)</f>
        <v>9</v>
      </c>
    </row>
    <row r="102" spans="1:29" ht="29.45" thickBot="1">
      <c r="A102" s="10"/>
      <c r="B102" s="19" t="s">
        <v>36</v>
      </c>
      <c r="C102" s="11" t="s">
        <v>37</v>
      </c>
      <c r="D102" s="11" t="s">
        <v>38</v>
      </c>
      <c r="E102" s="11" t="s">
        <v>39</v>
      </c>
    </row>
    <row r="103" spans="1:29" ht="15" thickBot="1">
      <c r="A103" s="12">
        <f ca="1">INDIRECT(CONCATENATE("'ALL DATA'!",O$1,$N103))</f>
        <v>2016</v>
      </c>
      <c r="B103" s="13">
        <f ca="1">INDIRECT(CONCATENATE("'ALL DATA'!",X$1,$N103))</f>
        <v>1230</v>
      </c>
      <c r="C103" s="14">
        <f ca="1">IF(ISBLANK(INDIRECT(CONCATENATE("'ALL DATA'!",Y$1,$N103))),"*",INDIRECT(CONCATENATE("'ALL DATA'!",Y$1,$N103)))</f>
        <v>0.87892376681614348</v>
      </c>
      <c r="D103" s="14">
        <f t="shared" ref="D103:E103" ca="1" si="9">IF(ISBLANK(INDIRECT(CONCATENATE("'ALL DATA'!",Z$1,$N103))),"*",INDIRECT(CONCATENATE("'ALL DATA'!",Z$1,$N103)))</f>
        <v>0.91596638655462181</v>
      </c>
      <c r="E103" s="14">
        <f t="shared" ca="1" si="9"/>
        <v>0.94222222222222218</v>
      </c>
      <c r="N103" s="22">
        <f>8+8*($M$1-1)</f>
        <v>16</v>
      </c>
    </row>
    <row r="106" spans="1:29" ht="15" thickBot="1">
      <c r="A106" s="9" t="str">
        <f ca="1">CONCATENATE("Table ",N106,"b. Persistence Rates from First to Second Year of College for Class of ",A108,", Student-Weighted Totals")</f>
        <v>Table 9b. Persistence Rates from First to Second Year of College for Class of 2016, Student-Weighted Totals</v>
      </c>
      <c r="N106" s="22">
        <f>4+5*($M$1-1)</f>
        <v>9</v>
      </c>
    </row>
    <row r="107" spans="1:29" ht="43.9" thickBot="1">
      <c r="A107" s="10"/>
      <c r="B107" s="19" t="s">
        <v>48</v>
      </c>
      <c r="C107" s="11" t="s">
        <v>41</v>
      </c>
      <c r="D107" s="11" t="s">
        <v>42</v>
      </c>
      <c r="E107" s="11" t="s">
        <v>43</v>
      </c>
      <c r="F107" s="11" t="s">
        <v>44</v>
      </c>
      <c r="G107" s="11" t="s">
        <v>45</v>
      </c>
      <c r="H107" s="11" t="s">
        <v>46</v>
      </c>
      <c r="I107" s="11" t="s">
        <v>47</v>
      </c>
      <c r="J107" s="7"/>
      <c r="K107" s="7"/>
      <c r="L107" s="7"/>
      <c r="N107" s="23"/>
    </row>
    <row r="108" spans="1:29" ht="15" thickBot="1">
      <c r="A108" s="12">
        <f ca="1">INDIRECT(CONCATENATE("'All DATA'!",O$1,$N108))</f>
        <v>2016</v>
      </c>
      <c r="B108" s="13">
        <f t="shared" ref="B108" ca="1" si="10">INDIRECT(CONCATENATE("'All DATA'!",P$1,$N108))</f>
        <v>308025</v>
      </c>
      <c r="C108" s="14">
        <f ca="1">IF(ISBLANK(INDIRECT(CONCATENATE("'All DATA'!",Q$1,$N108))),"*",INDIRECT(CONCATENATE("'All DATA'!",Q$1,$N108)))</f>
        <v>0.91516922327733141</v>
      </c>
      <c r="D108" s="14">
        <f t="shared" ref="D108:I108" ca="1" si="11">IF(ISBLANK(INDIRECT(CONCATENATE("'All DATA'!",R$1,$N108))),"*",INDIRECT(CONCATENATE("'All DATA'!",R$1,$N108)))</f>
        <v>0.90290693479451123</v>
      </c>
      <c r="E108" s="14">
        <f t="shared" ca="1" si="11"/>
        <v>0.95506517896597432</v>
      </c>
      <c r="F108" s="14">
        <f t="shared" ca="1" si="11"/>
        <v>0.79501118862708964</v>
      </c>
      <c r="G108" s="14">
        <f t="shared" ca="1" si="11"/>
        <v>0.95450647475813921</v>
      </c>
      <c r="H108" s="14">
        <f t="shared" ca="1" si="11"/>
        <v>0.89949797258157949</v>
      </c>
      <c r="I108" s="14">
        <f t="shared" ca="1" si="11"/>
        <v>0.95283237760615203</v>
      </c>
      <c r="K108" s="3"/>
      <c r="L108" s="3"/>
      <c r="N108" s="22">
        <f>8+8*($M$1-1)</f>
        <v>16</v>
      </c>
    </row>
    <row r="109" spans="1:29" s="7" customFormat="1">
      <c r="A109" s="4"/>
      <c r="B109" s="5"/>
      <c r="C109" s="6"/>
      <c r="D109" s="6"/>
      <c r="E109" s="6"/>
      <c r="F109" s="6"/>
      <c r="G109" s="6"/>
      <c r="H109" s="6"/>
      <c r="I109" s="6"/>
      <c r="J109" s="3"/>
      <c r="K109" s="31"/>
      <c r="L109" s="31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8"/>
      <c r="AC109" s="18"/>
    </row>
    <row r="110" spans="1:29">
      <c r="N110" s="3"/>
      <c r="Q110" s="22"/>
    </row>
    <row r="111" spans="1:29">
      <c r="A111" s="31" t="str">
        <f ca="1">CONCATENATE("Figure ", RIGHT(A106,LEN(A106)-6))</f>
        <v>Figure 9b. Persistence Rates from First to Second Year of College for Class of 2016, Student-Weighted Totals</v>
      </c>
      <c r="Q111" s="22"/>
    </row>
    <row r="112" spans="1:29">
      <c r="Q112" s="22"/>
    </row>
    <row r="132" spans="1:29" ht="15" thickBot="1">
      <c r="A132" s="9" t="str">
        <f ca="1">CONCATENATE("Table ",N132,"a. Six-Year Completion Rates for Class of ",A134,", School Percentile Distribution")</f>
        <v>Table 10a. Six-Year Completion Rates for Class of 2012, School Percentile Distribution</v>
      </c>
      <c r="N132" s="22">
        <f>5+5*($M$1-1)</f>
        <v>10</v>
      </c>
    </row>
    <row r="133" spans="1:29" ht="29.45" thickBot="1">
      <c r="A133" s="10"/>
      <c r="B133" s="19" t="s">
        <v>36</v>
      </c>
      <c r="C133" s="11" t="s">
        <v>37</v>
      </c>
      <c r="D133" s="11" t="s">
        <v>38</v>
      </c>
      <c r="E133" s="11" t="s">
        <v>39</v>
      </c>
    </row>
    <row r="134" spans="1:29" ht="15" thickBot="1">
      <c r="A134" s="12">
        <f ca="1">INDIRECT(CONCATENATE("'ALL DATA'!",O$1,$N134))</f>
        <v>2012</v>
      </c>
      <c r="B134" s="13">
        <f ca="1">INDIRECT(CONCATENATE("'ALL DATA'!",X$1,$N134))</f>
        <v>1562</v>
      </c>
      <c r="C134" s="14">
        <f ca="1">IF(ISBLANK(INDIRECT(CONCATENATE("'ALL DATA'!",Y$1,$N134))),"*",INDIRECT(CONCATENATE("'ALL DATA'!",Y$1,$N134)))</f>
        <v>0.4157303370786517</v>
      </c>
      <c r="D134" s="14">
        <f t="shared" ref="D134:E134" ca="1" si="12">IF(ISBLANK(INDIRECT(CONCATENATE("'ALL DATA'!",Z$1,$N134))),"*",INDIRECT(CONCATENATE("'ALL DATA'!",Z$1,$N134)))</f>
        <v>0.54252318660022147</v>
      </c>
      <c r="E134" s="14">
        <f t="shared" ca="1" si="12"/>
        <v>0.63730569948186533</v>
      </c>
      <c r="N134" s="22">
        <f>9+8*($M$1-1)</f>
        <v>17</v>
      </c>
    </row>
    <row r="137" spans="1:29" ht="15" thickBot="1">
      <c r="A137" s="9" t="str">
        <f ca="1">CONCATENATE("Table ",N137,"b. Six-Year Completion Rates for Class of ",A139, ", Student-Weighted Totals")</f>
        <v>Table 10b. Six-Year Completion Rates for Class of 2012, Student-Weighted Totals</v>
      </c>
      <c r="N137" s="22">
        <f>5+5*($M$1-1)</f>
        <v>10</v>
      </c>
    </row>
    <row r="138" spans="1:29" ht="29.45" thickBot="1">
      <c r="A138" s="10"/>
      <c r="B138" s="19" t="s">
        <v>40</v>
      </c>
      <c r="C138" s="11" t="s">
        <v>41</v>
      </c>
      <c r="D138" s="11" t="s">
        <v>42</v>
      </c>
      <c r="E138" s="11" t="s">
        <v>43</v>
      </c>
      <c r="F138" s="11" t="s">
        <v>44</v>
      </c>
      <c r="G138" s="11" t="s">
        <v>45</v>
      </c>
      <c r="H138" s="11" t="s">
        <v>46</v>
      </c>
      <c r="I138" s="11" t="s">
        <v>47</v>
      </c>
      <c r="J138" s="7"/>
      <c r="K138" s="7"/>
      <c r="L138" s="7"/>
      <c r="N138" s="23"/>
    </row>
    <row r="139" spans="1:29" ht="15" thickBot="1">
      <c r="A139" s="12">
        <f ca="1">INDIRECT(CONCATENATE("'All DATA'!",O$1,$N139))</f>
        <v>2012</v>
      </c>
      <c r="B139" s="13">
        <f t="shared" ref="B139" ca="1" si="13">INDIRECT(CONCATENATE("'All DATA'!",P$1,$N139))</f>
        <v>490469</v>
      </c>
      <c r="C139" s="14">
        <f ca="1">IF(ISBLANK(INDIRECT(CONCATENATE("'All DATA'!",Q$1,$N139))),"*",INDIRECT(CONCATENATE("'All DATA'!",Q$1,$N139)))</f>
        <v>0.53324674953972628</v>
      </c>
      <c r="D139" s="14">
        <f t="shared" ref="D139:I139" ca="1" si="14">IF(ISBLANK(INDIRECT(CONCATENATE("'All DATA'!",R$1,$N139))),"*",INDIRECT(CONCATENATE("'All DATA'!",R$1,$N139)))</f>
        <v>0.38246453904324229</v>
      </c>
      <c r="E139" s="14">
        <f t="shared" ca="1" si="14"/>
        <v>0.15078221049648396</v>
      </c>
      <c r="F139" s="14">
        <f t="shared" ca="1" si="14"/>
        <v>8.2541404247771011E-2</v>
      </c>
      <c r="G139" s="14">
        <f t="shared" ca="1" si="14"/>
        <v>0.45070534529195527</v>
      </c>
      <c r="H139" s="14">
        <f t="shared" ca="1" si="14"/>
        <v>0.37505530420882871</v>
      </c>
      <c r="I139" s="14">
        <f t="shared" ca="1" si="14"/>
        <v>0.15819144533089757</v>
      </c>
      <c r="K139" s="3"/>
      <c r="L139" s="3"/>
      <c r="N139" s="22">
        <f>9+8*($M$1-1)</f>
        <v>17</v>
      </c>
    </row>
    <row r="140" spans="1:29" s="7" customFormat="1">
      <c r="A140" s="4"/>
      <c r="B140" s="5"/>
      <c r="C140" s="6"/>
      <c r="D140" s="6"/>
      <c r="E140" s="6"/>
      <c r="F140" s="6"/>
      <c r="G140" s="6"/>
      <c r="H140" s="6"/>
      <c r="I140" s="6"/>
      <c r="J140" s="3"/>
      <c r="K140" s="31"/>
      <c r="L140" s="31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18"/>
      <c r="AC140" s="18"/>
    </row>
    <row r="141" spans="1:29">
      <c r="N141" s="3"/>
      <c r="Q141" s="22"/>
    </row>
    <row r="142" spans="1:29">
      <c r="A142" s="31" t="str">
        <f ca="1">CONCATENATE("Figure ", RIGHT(A137,LEN(A137)-6))</f>
        <v>Figure 10b. Six-Year Completion Rates for Class of 2012, Student-Weighted Totals</v>
      </c>
      <c r="Q142" s="22"/>
    </row>
    <row r="143" spans="1:29">
      <c r="Q143" s="22"/>
    </row>
    <row r="163" spans="1:1">
      <c r="A163" s="26"/>
    </row>
    <row r="164" spans="1:1">
      <c r="A164" s="26" t="s">
        <v>49</v>
      </c>
    </row>
  </sheetData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7DBDA9-7EF0-4B28-B3A1-628065633874}"/>
</file>

<file path=customXml/itemProps2.xml><?xml version="1.0" encoding="utf-8"?>
<ds:datastoreItem xmlns:ds="http://schemas.openxmlformats.org/officeDocument/2006/customXml" ds:itemID="{7744E52F-FB4E-4B27-B158-D6CFD42A03E4}"/>
</file>

<file path=customXml/itemProps3.xml><?xml version="1.0" encoding="utf-8"?>
<ds:datastoreItem xmlns:ds="http://schemas.openxmlformats.org/officeDocument/2006/customXml" ds:itemID="{3254D79C-A847-417D-95C4-75A8713756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Diana Gillum</cp:lastModifiedBy>
  <dcterms:created xsi:type="dcterms:W3CDTF">2013-05-01T18:07:04Z</dcterms:created>
  <dcterms:modified xsi:type="dcterms:W3CDTF">2019-09-10T13:48:19Z</dcterms:modified>
  <cp:category/>
  <cp:contentStatus/>
</cp:coreProperties>
</file>